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35" yWindow="65521" windowWidth="7680" windowHeight="8625" tabRatio="770" activeTab="0"/>
  </bookViews>
  <sheets>
    <sheet name="result" sheetId="1" r:id="rId1"/>
    <sheet name="diff_open_close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measurement" sheetId="24" r:id="rId24"/>
  </sheets>
  <definedNames>
    <definedName name="_xlnm.Print_Area" localSheetId="15">'14'!$A$1:$O$86</definedName>
  </definedNames>
  <calcPr fullCalcOnLoad="1"/>
</workbook>
</file>

<file path=xl/comments1.xml><?xml version="1.0" encoding="utf-8"?>
<comments xmlns="http://schemas.openxmlformats.org/spreadsheetml/2006/main">
  <authors>
    <author>PTB 1.401</author>
  </authors>
  <commentList>
    <comment ref="C61" authorId="0">
      <text>
        <r>
          <rPr>
            <b/>
            <sz val="12"/>
            <rFont val="Tahoma"/>
            <family val="0"/>
          </rPr>
          <t>PTB 1.401:</t>
        </r>
        <r>
          <rPr>
            <sz val="12"/>
            <rFont val="Tahoma"/>
            <family val="0"/>
          </rPr>
          <t xml:space="preserve">
neuer Wert nach Cox et al.Acustica 1993</t>
        </r>
      </text>
    </comment>
  </commentList>
</comments>
</file>

<file path=xl/comments19.xml><?xml version="1.0" encoding="utf-8"?>
<comments xmlns="http://schemas.openxmlformats.org/spreadsheetml/2006/main">
  <authors>
    <author>PTB 1.401</author>
  </authors>
  <commentList>
    <comment ref="F43" authorId="0">
      <text>
        <r>
          <rPr>
            <b/>
            <sz val="12"/>
            <rFont val="Tahoma"/>
            <family val="0"/>
          </rPr>
          <t>PTB 1.401:</t>
        </r>
        <r>
          <rPr>
            <sz val="12"/>
            <rFont val="Tahoma"/>
            <family val="0"/>
          </rPr>
          <t xml:space="preserve">
changed from 0.44
</t>
        </r>
      </text>
    </comment>
  </commentList>
</comments>
</file>

<file path=xl/comments3.xml><?xml version="1.0" encoding="utf-8"?>
<comments xmlns="http://schemas.openxmlformats.org/spreadsheetml/2006/main">
  <authors>
    <author>PTB 1.401</author>
  </authors>
  <commentList>
    <comment ref="M66" authorId="0">
      <text>
        <r>
          <rPr>
            <b/>
            <sz val="12"/>
            <rFont val="Tahoma"/>
            <family val="0"/>
          </rPr>
          <t>PTB 1.401:</t>
        </r>
        <r>
          <rPr>
            <sz val="12"/>
            <rFont val="Tahoma"/>
            <family val="0"/>
          </rPr>
          <t xml:space="preserve">
korrigiert entsprechend email v.2.7.</t>
        </r>
      </text>
    </comment>
  </commentList>
</comments>
</file>

<file path=xl/sharedStrings.xml><?xml version="1.0" encoding="utf-8"?>
<sst xmlns="http://schemas.openxmlformats.org/spreadsheetml/2006/main" count="3913" uniqueCount="57">
  <si>
    <t>125 Hz</t>
  </si>
  <si>
    <t>octave</t>
  </si>
  <si>
    <t>S1R1</t>
  </si>
  <si>
    <t>S1R2</t>
  </si>
  <si>
    <t>S1R3</t>
  </si>
  <si>
    <t>S2R1</t>
  </si>
  <si>
    <t>S2R2</t>
  </si>
  <si>
    <t>S2R3</t>
  </si>
  <si>
    <t>T30/s</t>
  </si>
  <si>
    <t>EDT/s</t>
  </si>
  <si>
    <t>D/%</t>
  </si>
  <si>
    <t>C/dB</t>
  </si>
  <si>
    <t>TS/ms</t>
  </si>
  <si>
    <t>G/dB</t>
  </si>
  <si>
    <t>LF/%</t>
  </si>
  <si>
    <t>LFC/%</t>
  </si>
  <si>
    <t>IACC</t>
  </si>
  <si>
    <t>250 Hz</t>
  </si>
  <si>
    <t>500 Hz</t>
  </si>
  <si>
    <t>1000 Hz</t>
  </si>
  <si>
    <t>2000 Hz</t>
  </si>
  <si>
    <t>4000 Hz</t>
  </si>
  <si>
    <t>Participant</t>
  </si>
  <si>
    <t>parameter:</t>
  </si>
  <si>
    <t>frequency:</t>
  </si>
  <si>
    <t>frequency</t>
  </si>
  <si>
    <t>position</t>
  </si>
  <si>
    <t>curtains open</t>
  </si>
  <si>
    <t>curtains closed</t>
  </si>
  <si>
    <t>open</t>
  </si>
  <si>
    <t>closed</t>
  </si>
  <si>
    <t>curtains</t>
  </si>
  <si>
    <t>difference</t>
  </si>
  <si>
    <t>mean</t>
  </si>
  <si>
    <t>measured</t>
  </si>
  <si>
    <t>s</t>
  </si>
  <si>
    <t>close</t>
  </si>
  <si>
    <t>stddev.</t>
  </si>
  <si>
    <t>17 participants p2</t>
  </si>
  <si>
    <t>relative evaluation</t>
  </si>
  <si>
    <t>dB</t>
  </si>
  <si>
    <t>%</t>
  </si>
  <si>
    <t>ms</t>
  </si>
  <si>
    <t>limit</t>
  </si>
  <si>
    <t>unit</t>
  </si>
  <si>
    <t>reference values for</t>
  </si>
  <si>
    <t>curtain close</t>
  </si>
  <si>
    <t>curtain open</t>
  </si>
  <si>
    <t xml:space="preserve">Standard deviations </t>
  </si>
  <si>
    <t>error:</t>
  </si>
  <si>
    <t>stddev.meas</t>
  </si>
  <si>
    <t>measurement mean values (std deviations below )</t>
  </si>
  <si>
    <t>C80/dB</t>
  </si>
  <si>
    <t>Ts/ms</t>
  </si>
  <si>
    <t>m. error(loc)</t>
  </si>
  <si>
    <t>error reference:</t>
  </si>
  <si>
    <t>m. error (f)</t>
  </si>
</sst>
</file>

<file path=xl/styles.xml><?xml version="1.0" encoding="utf-8"?>
<styleSheet xmlns="http://schemas.openxmlformats.org/spreadsheetml/2006/main">
  <numFmts count="4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#,##0.0\ _D_M;\-#,##0.0\ _D_M"/>
    <numFmt numFmtId="174" formatCode="0.000"/>
    <numFmt numFmtId="175" formatCode="0_ "/>
    <numFmt numFmtId="176" formatCode="0\!.0000"/>
    <numFmt numFmtId="177" formatCode="0.0"/>
    <numFmt numFmtId="178" formatCode="0.000_ "/>
    <numFmt numFmtId="179" formatCode="#,##0.000\ _D_M;\-#,##0.000\ _D_M"/>
    <numFmt numFmtId="180" formatCode="_-* #,##0.0\ _D_M_-;\-* #,##0.0\ _D_M_-;_-* &quot;-&quot;??\ _D_M_-;_-@_-"/>
    <numFmt numFmtId="181" formatCode="_-* #,##0\ _D_M_-;\-* #,##0\ _D_M_-;_-* &quot;-&quot;??\ _D_M_-;_-@_-"/>
    <numFmt numFmtId="182" formatCode="_-* #,##0.000\ _D_M_-;\-* #,##0.000\ _D_M_-;_-* &quot;-&quot;??\ _D_M_-;_-@_-"/>
    <numFmt numFmtId="183" formatCode="00000"/>
    <numFmt numFmtId="184" formatCode="#,##0.0"/>
    <numFmt numFmtId="185" formatCode="0.00000"/>
    <numFmt numFmtId="186" formatCode="0.0000000"/>
    <numFmt numFmtId="187" formatCode="0.000000"/>
    <numFmt numFmtId="188" formatCode="0.00_);[Red]\(0.00\)"/>
    <numFmt numFmtId="189" formatCode="#,##0.00_ ;[Red]\-#,##0.00\ "/>
    <numFmt numFmtId="190" formatCode="0.0000000000000000"/>
    <numFmt numFmtId="191" formatCode="0.000000000000000"/>
    <numFmt numFmtId="192" formatCode="0.00000000000000000"/>
    <numFmt numFmtId="193" formatCode="0.000000000000000000"/>
    <numFmt numFmtId="194" formatCode="0.0000000000000000000"/>
    <numFmt numFmtId="195" formatCode="0.00000000000000000000"/>
    <numFmt numFmtId="196" formatCode="0.00000000000000"/>
    <numFmt numFmtId="197" formatCode="0.0000000000000"/>
    <numFmt numFmtId="198" formatCode="0.000000000000"/>
    <numFmt numFmtId="199" formatCode="0.00000000000"/>
    <numFmt numFmtId="200" formatCode="0.0000000000"/>
    <numFmt numFmtId="201" formatCode="0.000000000"/>
    <numFmt numFmtId="202" formatCode="0.00000000"/>
    <numFmt numFmtId="203" formatCode="#,##0.0000\ _D_M;\-#,##0.0000\ _D_M"/>
    <numFmt numFmtId="204" formatCode="#,##0.0\ _F;\-#,##0.0\ _F"/>
  </numFmts>
  <fonts count="40">
    <font>
      <sz val="12"/>
      <name val="Arial"/>
      <family val="0"/>
    </font>
    <font>
      <u val="single"/>
      <sz val="15"/>
      <name val="MS Sans Serif"/>
      <family val="0"/>
    </font>
    <font>
      <sz val="10"/>
      <name val="MS Sans Serif"/>
      <family val="0"/>
    </font>
    <font>
      <i/>
      <sz val="10"/>
      <name val="MS Sans Serif"/>
      <family val="0"/>
    </font>
    <font>
      <b/>
      <u val="single"/>
      <sz val="10"/>
      <name val="MS Sans Serif"/>
      <family val="0"/>
    </font>
    <font>
      <b/>
      <sz val="12"/>
      <name val="MS Sans Serif"/>
      <family val="0"/>
    </font>
    <font>
      <sz val="12"/>
      <name val="MS Sans Serif"/>
      <family val="0"/>
    </font>
    <font>
      <sz val="22"/>
      <color indexed="10"/>
      <name val="Arial"/>
      <family val="2"/>
    </font>
    <font>
      <b/>
      <sz val="10"/>
      <name val="MS Sans Serif"/>
      <family val="0"/>
    </font>
    <font>
      <sz val="10"/>
      <color indexed="12"/>
      <name val="MS Sans Serif"/>
      <family val="2"/>
    </font>
    <font>
      <u val="single"/>
      <sz val="8"/>
      <color indexed="12"/>
      <name val="MS Sans Serif"/>
      <family val="0"/>
    </font>
    <font>
      <sz val="10"/>
      <color indexed="10"/>
      <name val="MS Sans Serif"/>
      <family val="2"/>
    </font>
    <font>
      <sz val="10"/>
      <name val="Arial"/>
      <family val="2"/>
    </font>
    <font>
      <b/>
      <sz val="10"/>
      <color indexed="10"/>
      <name val="MS Sans Serif"/>
      <family val="0"/>
    </font>
    <font>
      <b/>
      <sz val="12"/>
      <name val="Arial"/>
      <family val="2"/>
    </font>
    <font>
      <sz val="20"/>
      <color indexed="10"/>
      <name val="Arial"/>
      <family val="2"/>
    </font>
    <font>
      <sz val="9"/>
      <name val="Arial"/>
      <family val="2"/>
    </font>
    <font>
      <sz val="12"/>
      <name val="Tahoma"/>
      <family val="0"/>
    </font>
    <font>
      <u val="single"/>
      <sz val="10"/>
      <name val="MS Sans Serif"/>
      <family val="0"/>
    </font>
    <font>
      <b/>
      <sz val="12"/>
      <name val="Tahoma"/>
      <family val="0"/>
    </font>
    <font>
      <sz val="9.25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0"/>
      <name val="Arial Cyr"/>
      <family val="2"/>
    </font>
    <font>
      <u val="single"/>
      <sz val="12"/>
      <color indexed="36"/>
      <name val="Arial"/>
      <family val="0"/>
    </font>
    <font>
      <b/>
      <sz val="10"/>
      <color indexed="12"/>
      <name val="MS Sans Serif"/>
      <family val="2"/>
    </font>
    <font>
      <u val="single"/>
      <sz val="12"/>
      <name val="MS Sans Serif"/>
      <family val="2"/>
    </font>
    <font>
      <sz val="12"/>
      <color indexed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i/>
      <sz val="20"/>
      <color indexed="10"/>
      <name val="MS Sans Serif"/>
      <family val="2"/>
    </font>
    <font>
      <b/>
      <sz val="10"/>
      <color indexed="12"/>
      <name val="Arial"/>
      <family val="2"/>
    </font>
    <font>
      <u val="single"/>
      <sz val="10"/>
      <color indexed="12"/>
      <name val="MS Sans Serif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4" fontId="12" fillId="0" borderId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39" fontId="1" fillId="0" borderId="0" xfId="16" applyNumberFormat="1" applyFont="1" applyAlignment="1">
      <alignment horizontal="left"/>
    </xf>
    <xf numFmtId="39" fontId="0" fillId="0" borderId="0" xfId="16" applyNumberFormat="1" applyAlignment="1">
      <alignment/>
    </xf>
    <xf numFmtId="39" fontId="2" fillId="0" borderId="1" xfId="16" applyNumberFormat="1" applyFont="1" applyFill="1" applyBorder="1" applyAlignment="1">
      <alignment horizontal="left"/>
    </xf>
    <xf numFmtId="39" fontId="3" fillId="0" borderId="1" xfId="16" applyNumberFormat="1" applyFont="1" applyFill="1" applyBorder="1" applyAlignment="1">
      <alignment horizontal="centerContinuous"/>
    </xf>
    <xf numFmtId="39" fontId="0" fillId="0" borderId="0" xfId="16" applyNumberFormat="1" applyFont="1" applyAlignment="1">
      <alignment/>
    </xf>
    <xf numFmtId="39" fontId="0" fillId="0" borderId="0" xfId="16" applyNumberFormat="1" applyFont="1" applyAlignment="1">
      <alignment horizontal="left"/>
    </xf>
    <xf numFmtId="39" fontId="0" fillId="0" borderId="0" xfId="16" applyNumberFormat="1" applyFont="1" applyAlignment="1">
      <alignment horizontal="centerContinuous"/>
    </xf>
    <xf numFmtId="39" fontId="0" fillId="0" borderId="0" xfId="16" applyNumberFormat="1" applyAlignment="1">
      <alignment horizontal="centerContinuous"/>
    </xf>
    <xf numFmtId="39" fontId="0" fillId="0" borderId="0" xfId="16" applyNumberFormat="1" applyAlignment="1" applyProtection="1">
      <alignment/>
      <protection locked="0"/>
    </xf>
    <xf numFmtId="49" fontId="0" fillId="0" borderId="0" xfId="16" applyNumberFormat="1" applyFont="1" applyAlignment="1">
      <alignment horizontal="left"/>
    </xf>
    <xf numFmtId="39" fontId="5" fillId="0" borderId="0" xfId="16" applyNumberFormat="1" applyFont="1" applyAlignment="1" applyProtection="1">
      <alignment horizontal="center"/>
      <protection locked="0"/>
    </xf>
    <xf numFmtId="39" fontId="5" fillId="0" borderId="0" xfId="16" applyNumberFormat="1" applyFont="1" applyAlignment="1">
      <alignment/>
    </xf>
    <xf numFmtId="39" fontId="0" fillId="0" borderId="0" xfId="16" applyNumberFormat="1" applyBorder="1" applyAlignment="1">
      <alignment/>
    </xf>
    <xf numFmtId="39" fontId="0" fillId="0" borderId="2" xfId="16" applyNumberFormat="1" applyBorder="1" applyAlignment="1">
      <alignment horizontal="center"/>
    </xf>
    <xf numFmtId="39" fontId="0" fillId="0" borderId="3" xfId="16" applyNumberFormat="1" applyBorder="1" applyAlignment="1">
      <alignment horizontal="center"/>
    </xf>
    <xf numFmtId="172" fontId="0" fillId="0" borderId="0" xfId="0" applyNumberFormat="1" applyAlignment="1">
      <alignment/>
    </xf>
    <xf numFmtId="39" fontId="0" fillId="0" borderId="0" xfId="16" applyNumberFormat="1" applyFont="1" applyBorder="1" applyAlignment="1">
      <alignment/>
    </xf>
    <xf numFmtId="0" fontId="7" fillId="0" borderId="0" xfId="0" applyFont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39" fontId="1" fillId="0" borderId="0" xfId="16" applyNumberFormat="1" applyFont="1" applyAlignment="1">
      <alignment horizontal="left"/>
    </xf>
    <xf numFmtId="39" fontId="2" fillId="0" borderId="1" xfId="16" applyNumberFormat="1" applyFont="1" applyFill="1" applyBorder="1" applyAlignment="1">
      <alignment horizontal="left"/>
    </xf>
    <xf numFmtId="39" fontId="3" fillId="0" borderId="1" xfId="16" applyNumberFormat="1" applyFont="1" applyFill="1" applyBorder="1" applyAlignment="1">
      <alignment horizontal="centerContinuous"/>
    </xf>
    <xf numFmtId="0" fontId="0" fillId="0" borderId="0" xfId="0" applyAlignment="1">
      <alignment/>
    </xf>
    <xf numFmtId="39" fontId="4" fillId="0" borderId="0" xfId="16" applyNumberFormat="1" applyFont="1" applyAlignment="1">
      <alignment/>
    </xf>
    <xf numFmtId="177" fontId="0" fillId="0" borderId="0" xfId="0" applyNumberFormat="1" applyBorder="1" applyAlignment="1">
      <alignment/>
    </xf>
    <xf numFmtId="177" fontId="0" fillId="0" borderId="8" xfId="0" applyNumberFormat="1" applyBorder="1" applyAlignment="1">
      <alignment/>
    </xf>
    <xf numFmtId="177" fontId="0" fillId="0" borderId="7" xfId="0" applyNumberFormat="1" applyBorder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2" fontId="0" fillId="0" borderId="0" xfId="16" applyNumberFormat="1" applyAlignment="1">
      <alignment/>
    </xf>
    <xf numFmtId="0" fontId="7" fillId="2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0" fillId="0" borderId="0" xfId="16" applyNumberFormat="1" applyAlignment="1">
      <alignment horizontal="center"/>
    </xf>
    <xf numFmtId="181" fontId="0" fillId="2" borderId="0" xfId="16" applyNumberFormat="1" applyFill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2" fontId="3" fillId="0" borderId="1" xfId="16" applyNumberFormat="1" applyFont="1" applyFill="1" applyBorder="1" applyAlignment="1">
      <alignment horizontal="centerContinuous"/>
    </xf>
    <xf numFmtId="177" fontId="0" fillId="0" borderId="0" xfId="16" applyNumberFormat="1" applyAlignment="1">
      <alignment/>
    </xf>
    <xf numFmtId="177" fontId="0" fillId="0" borderId="0" xfId="0" applyNumberFormat="1" applyAlignment="1">
      <alignment/>
    </xf>
    <xf numFmtId="0" fontId="15" fillId="3" borderId="0" xfId="0" applyFont="1" applyFill="1" applyAlignment="1">
      <alignment/>
    </xf>
    <xf numFmtId="0" fontId="15" fillId="0" borderId="0" xfId="0" applyFont="1" applyFill="1" applyAlignment="1">
      <alignment/>
    </xf>
    <xf numFmtId="184" fontId="1" fillId="0" borderId="0" xfId="19" applyNumberFormat="1" applyFont="1" applyAlignment="1">
      <alignment horizontal="left"/>
    </xf>
    <xf numFmtId="184" fontId="12" fillId="0" borderId="0" xfId="19" applyNumberFormat="1" applyFont="1" applyAlignment="1">
      <alignment/>
    </xf>
    <xf numFmtId="184" fontId="5" fillId="0" borderId="0" xfId="19" applyNumberFormat="1" applyFont="1" applyAlignment="1" applyProtection="1">
      <alignment horizontal="center"/>
      <protection locked="0"/>
    </xf>
    <xf numFmtId="184" fontId="5" fillId="0" borderId="0" xfId="19" applyNumberFormat="1" applyFont="1" applyAlignment="1">
      <alignment/>
    </xf>
    <xf numFmtId="184" fontId="6" fillId="0" borderId="0" xfId="19" applyNumberFormat="1" applyFont="1" applyAlignment="1" applyProtection="1">
      <alignment horizontal="center"/>
      <protection locked="0"/>
    </xf>
    <xf numFmtId="184" fontId="12" fillId="0" borderId="14" xfId="19" applyNumberFormat="1" applyFont="1" applyBorder="1" applyAlignment="1">
      <alignment/>
    </xf>
    <xf numFmtId="184" fontId="12" fillId="0" borderId="2" xfId="19" applyNumberFormat="1" applyFont="1" applyBorder="1" applyAlignment="1">
      <alignment horizontal="center"/>
    </xf>
    <xf numFmtId="184" fontId="12" fillId="0" borderId="15" xfId="19" applyNumberFormat="1" applyFont="1" applyBorder="1" applyAlignment="1">
      <alignment horizontal="center"/>
    </xf>
    <xf numFmtId="184" fontId="12" fillId="0" borderId="3" xfId="19" applyNumberFormat="1" applyFont="1" applyBorder="1" applyAlignment="1">
      <alignment horizontal="center"/>
    </xf>
    <xf numFmtId="184" fontId="12" fillId="0" borderId="16" xfId="19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2" fontId="8" fillId="0" borderId="0" xfId="0" applyNumberFormat="1" applyFont="1" applyFill="1" applyAlignment="1">
      <alignment/>
    </xf>
    <xf numFmtId="39" fontId="0" fillId="0" borderId="0" xfId="16" applyNumberFormat="1" applyFont="1" applyAlignment="1">
      <alignment/>
    </xf>
    <xf numFmtId="39" fontId="12" fillId="0" borderId="14" xfId="16" applyNumberFormat="1" applyFont="1" applyBorder="1" applyAlignment="1">
      <alignment/>
    </xf>
    <xf numFmtId="39" fontId="2" fillId="0" borderId="0" xfId="16" applyNumberFormat="1" applyFont="1" applyFill="1" applyBorder="1" applyAlignment="1">
      <alignment horizontal="left"/>
    </xf>
    <xf numFmtId="39" fontId="3" fillId="0" borderId="0" xfId="16" applyNumberFormat="1" applyFont="1" applyFill="1" applyBorder="1" applyAlignment="1">
      <alignment horizontal="centerContinuous"/>
    </xf>
    <xf numFmtId="2" fontId="0" fillId="0" borderId="0" xfId="0" applyNumberFormat="1" applyAlignment="1">
      <alignment/>
    </xf>
    <xf numFmtId="0" fontId="7" fillId="4" borderId="12" xfId="0" applyFont="1" applyFill="1" applyBorder="1" applyAlignment="1">
      <alignment horizontal="right"/>
    </xf>
    <xf numFmtId="0" fontId="0" fillId="5" borderId="0" xfId="0" applyFill="1" applyAlignment="1">
      <alignment/>
    </xf>
    <xf numFmtId="177" fontId="0" fillId="5" borderId="0" xfId="0" applyNumberFormat="1" applyFill="1" applyAlignment="1">
      <alignment/>
    </xf>
    <xf numFmtId="181" fontId="0" fillId="5" borderId="0" xfId="16" applyNumberFormat="1" applyFill="1" applyAlignment="1">
      <alignment/>
    </xf>
    <xf numFmtId="0" fontId="0" fillId="6" borderId="0" xfId="0" applyFill="1" applyAlignment="1">
      <alignment/>
    </xf>
    <xf numFmtId="2" fontId="0" fillId="6" borderId="0" xfId="0" applyNumberFormat="1" applyFill="1" applyAlignment="1">
      <alignment/>
    </xf>
    <xf numFmtId="181" fontId="0" fillId="6" borderId="0" xfId="16" applyNumberFormat="1" applyFill="1" applyAlignment="1">
      <alignment/>
    </xf>
    <xf numFmtId="39" fontId="0" fillId="0" borderId="0" xfId="0" applyNumberFormat="1" applyAlignment="1">
      <alignment/>
    </xf>
    <xf numFmtId="0" fontId="0" fillId="7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5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39" fontId="4" fillId="0" borderId="0" xfId="16" applyNumberFormat="1" applyFont="1" applyFill="1" applyAlignment="1">
      <alignment/>
    </xf>
    <xf numFmtId="39" fontId="0" fillId="0" borderId="0" xfId="16" applyNumberFormat="1" applyFill="1" applyAlignment="1">
      <alignment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6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77" fontId="0" fillId="0" borderId="8" xfId="16" applyNumberFormat="1" applyBorder="1" applyAlignment="1">
      <alignment/>
    </xf>
    <xf numFmtId="2" fontId="0" fillId="0" borderId="8" xfId="16" applyNumberFormat="1" applyBorder="1" applyAlignment="1">
      <alignment/>
    </xf>
    <xf numFmtId="177" fontId="0" fillId="0" borderId="9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0" xfId="16" applyNumberFormat="1" applyBorder="1" applyAlignment="1">
      <alignment/>
    </xf>
    <xf numFmtId="177" fontId="5" fillId="0" borderId="0" xfId="16" applyNumberFormat="1" applyFont="1" applyAlignment="1">
      <alignment/>
    </xf>
    <xf numFmtId="177" fontId="12" fillId="0" borderId="3" xfId="16" applyNumberFormat="1" applyFont="1" applyBorder="1" applyAlignment="1">
      <alignment horizontal="center"/>
    </xf>
    <xf numFmtId="177" fontId="12" fillId="0" borderId="16" xfId="16" applyNumberFormat="1" applyFont="1" applyBorder="1" applyAlignment="1">
      <alignment horizontal="center"/>
    </xf>
    <xf numFmtId="39" fontId="0" fillId="4" borderId="0" xfId="16" applyNumberFormat="1" applyFill="1" applyAlignment="1">
      <alignment/>
    </xf>
    <xf numFmtId="39" fontId="0" fillId="4" borderId="0" xfId="16" applyNumberFormat="1" applyFont="1" applyFill="1" applyAlignment="1">
      <alignment/>
    </xf>
    <xf numFmtId="39" fontId="27" fillId="0" borderId="0" xfId="16" applyNumberFormat="1" applyFont="1" applyAlignment="1">
      <alignment horizontal="left"/>
    </xf>
    <xf numFmtId="39" fontId="0" fillId="0" borderId="0" xfId="16" applyNumberFormat="1" applyFont="1" applyAlignment="1">
      <alignment/>
    </xf>
    <xf numFmtId="39" fontId="0" fillId="0" borderId="0" xfId="16" applyNumberFormat="1" applyFont="1" applyBorder="1" applyAlignment="1">
      <alignment/>
    </xf>
    <xf numFmtId="39" fontId="0" fillId="0" borderId="0" xfId="16" applyNumberFormat="1" applyFont="1" applyBorder="1" applyAlignment="1">
      <alignment horizontal="center"/>
    </xf>
    <xf numFmtId="177" fontId="0" fillId="0" borderId="6" xfId="0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9" fontId="0" fillId="0" borderId="3" xfId="16" applyNumberFormat="1" applyFont="1" applyBorder="1" applyAlignment="1">
      <alignment horizontal="center"/>
    </xf>
    <xf numFmtId="177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3" xfId="16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39" fontId="0" fillId="0" borderId="14" xfId="16" applyNumberFormat="1" applyFont="1" applyBorder="1" applyAlignment="1">
      <alignment/>
    </xf>
    <xf numFmtId="177" fontId="0" fillId="0" borderId="3" xfId="16" applyNumberFormat="1" applyFont="1" applyBorder="1" applyAlignment="1">
      <alignment horizontal="center"/>
    </xf>
    <xf numFmtId="177" fontId="0" fillId="0" borderId="16" xfId="16" applyNumberFormat="1" applyFont="1" applyBorder="1" applyAlignment="1">
      <alignment horizontal="center"/>
    </xf>
    <xf numFmtId="177" fontId="0" fillId="0" borderId="0" xfId="16" applyNumberFormat="1" applyFont="1" applyAlignment="1">
      <alignment/>
    </xf>
    <xf numFmtId="0" fontId="0" fillId="0" borderId="0" xfId="0" applyFont="1" applyAlignment="1">
      <alignment/>
    </xf>
    <xf numFmtId="172" fontId="0" fillId="0" borderId="0" xfId="16" applyNumberFormat="1" applyAlignment="1">
      <alignment horizontal="center"/>
    </xf>
    <xf numFmtId="174" fontId="0" fillId="0" borderId="0" xfId="16" applyNumberFormat="1" applyAlignment="1">
      <alignment horizontal="center"/>
    </xf>
    <xf numFmtId="0" fontId="28" fillId="0" borderId="0" xfId="0" applyFont="1" applyAlignment="1">
      <alignment/>
    </xf>
    <xf numFmtId="39" fontId="28" fillId="0" borderId="0" xfId="16" applyNumberFormat="1" applyFont="1" applyAlignment="1">
      <alignment/>
    </xf>
    <xf numFmtId="39" fontId="30" fillId="0" borderId="1" xfId="16" applyNumberFormat="1" applyFont="1" applyFill="1" applyBorder="1" applyAlignment="1">
      <alignment horizontal="centerContinuous"/>
    </xf>
    <xf numFmtId="39" fontId="12" fillId="0" borderId="1" xfId="16" applyNumberFormat="1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35" fillId="0" borderId="0" xfId="0" applyFont="1" applyAlignment="1">
      <alignment/>
    </xf>
    <xf numFmtId="39" fontId="15" fillId="0" borderId="0" xfId="16" applyNumberFormat="1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16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/>
    </xf>
    <xf numFmtId="39" fontId="12" fillId="0" borderId="0" xfId="16" applyNumberFormat="1" applyFont="1" applyFill="1" applyAlignment="1">
      <alignment/>
    </xf>
    <xf numFmtId="0" fontId="12" fillId="0" borderId="8" xfId="0" applyFont="1" applyFill="1" applyBorder="1" applyAlignment="1">
      <alignment/>
    </xf>
    <xf numFmtId="39" fontId="12" fillId="0" borderId="3" xfId="16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39" fontId="12" fillId="0" borderId="16" xfId="16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/>
    </xf>
    <xf numFmtId="39" fontId="12" fillId="0" borderId="0" xfId="16" applyNumberFormat="1" applyFont="1" applyFill="1" applyBorder="1" applyAlignment="1">
      <alignment/>
    </xf>
    <xf numFmtId="39" fontId="8" fillId="0" borderId="0" xfId="16" applyNumberFormat="1" applyFont="1" applyFill="1" applyAlignment="1" applyProtection="1">
      <alignment horizontal="center"/>
      <protection locked="0"/>
    </xf>
    <xf numFmtId="39" fontId="8" fillId="0" borderId="0" xfId="16" applyNumberFormat="1" applyFont="1" applyFill="1" applyAlignment="1">
      <alignment/>
    </xf>
    <xf numFmtId="39" fontId="12" fillId="0" borderId="15" xfId="16" applyNumberFormat="1" applyFont="1" applyFill="1" applyBorder="1" applyAlignment="1">
      <alignment horizontal="center"/>
    </xf>
    <xf numFmtId="39" fontId="12" fillId="0" borderId="2" xfId="16" applyNumberFormat="1" applyFont="1" applyFill="1" applyBorder="1" applyAlignment="1">
      <alignment horizontal="center"/>
    </xf>
    <xf numFmtId="39" fontId="12" fillId="0" borderId="0" xfId="16" applyNumberFormat="1" applyFont="1" applyFill="1" applyBorder="1" applyAlignment="1">
      <alignment horizontal="center"/>
    </xf>
    <xf numFmtId="39" fontId="12" fillId="0" borderId="14" xfId="16" applyNumberFormat="1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39" fontId="12" fillId="0" borderId="0" xfId="16" applyNumberFormat="1" applyFont="1" applyFill="1" applyAlignment="1" quotePrefix="1">
      <alignment/>
    </xf>
    <xf numFmtId="39" fontId="12" fillId="0" borderId="0" xfId="16" applyNumberFormat="1" applyFont="1" applyFill="1" applyAlignment="1">
      <alignment/>
    </xf>
    <xf numFmtId="39" fontId="18" fillId="0" borderId="0" xfId="16" applyNumberFormat="1" applyFont="1" applyFill="1" applyAlignment="1">
      <alignment horizontal="left"/>
    </xf>
    <xf numFmtId="49" fontId="12" fillId="0" borderId="0" xfId="16" applyNumberFormat="1" applyFont="1" applyFill="1" applyAlignment="1">
      <alignment/>
    </xf>
    <xf numFmtId="39" fontId="12" fillId="0" borderId="0" xfId="16" applyNumberFormat="1" applyFont="1" applyFill="1" applyAlignment="1">
      <alignment horizontal="left"/>
    </xf>
    <xf numFmtId="39" fontId="12" fillId="0" borderId="0" xfId="16" applyNumberFormat="1" applyFont="1" applyFill="1" applyAlignment="1">
      <alignment horizontal="centerContinuous"/>
    </xf>
    <xf numFmtId="39" fontId="12" fillId="0" borderId="0" xfId="16" applyNumberFormat="1" applyFont="1" applyFill="1" applyAlignment="1" applyProtection="1">
      <alignment/>
      <protection locked="0"/>
    </xf>
    <xf numFmtId="49" fontId="12" fillId="0" borderId="0" xfId="16" applyNumberFormat="1" applyFont="1" applyFill="1" applyAlignment="1">
      <alignment horizontal="left"/>
    </xf>
    <xf numFmtId="37" fontId="12" fillId="0" borderId="0" xfId="16" applyNumberFormat="1" applyFont="1" applyFill="1" applyAlignment="1">
      <alignment/>
    </xf>
    <xf numFmtId="39" fontId="8" fillId="0" borderId="0" xfId="16" applyNumberFormat="1" applyFont="1" applyFill="1" applyAlignment="1" applyProtection="1">
      <alignment horizontal="center"/>
      <protection locked="0"/>
    </xf>
    <xf numFmtId="39" fontId="8" fillId="0" borderId="0" xfId="16" applyNumberFormat="1" applyFont="1" applyFill="1" applyAlignment="1">
      <alignment/>
    </xf>
    <xf numFmtId="0" fontId="12" fillId="0" borderId="0" xfId="0" applyFont="1" applyFill="1" applyAlignment="1">
      <alignment/>
    </xf>
    <xf numFmtId="172" fontId="12" fillId="0" borderId="0" xfId="0" applyNumberFormat="1" applyFont="1" applyFill="1" applyAlignment="1">
      <alignment/>
    </xf>
    <xf numFmtId="2" fontId="18" fillId="0" borderId="0" xfId="16" applyNumberFormat="1" applyFont="1" applyFill="1" applyAlignment="1">
      <alignment horizontal="left"/>
    </xf>
    <xf numFmtId="2" fontId="12" fillId="0" borderId="0" xfId="16" applyNumberFormat="1" applyFont="1" applyFill="1" applyAlignment="1">
      <alignment/>
    </xf>
    <xf numFmtId="2" fontId="26" fillId="0" borderId="0" xfId="16" applyNumberFormat="1" applyFont="1" applyFill="1" applyAlignment="1">
      <alignment/>
    </xf>
    <xf numFmtId="2" fontId="37" fillId="0" borderId="0" xfId="18" applyNumberFormat="1" applyFont="1" applyFill="1" applyAlignment="1">
      <alignment/>
    </xf>
    <xf numFmtId="2" fontId="12" fillId="0" borderId="0" xfId="16" applyNumberFormat="1" applyFont="1" applyFill="1" applyAlignment="1">
      <alignment horizontal="centerContinuous"/>
    </xf>
    <xf numFmtId="2" fontId="26" fillId="0" borderId="0" xfId="16" applyNumberFormat="1" applyFont="1" applyFill="1" applyAlignment="1">
      <alignment horizontal="left"/>
    </xf>
    <xf numFmtId="2" fontId="12" fillId="0" borderId="0" xfId="16" applyNumberFormat="1" applyFont="1" applyFill="1" applyAlignment="1">
      <alignment horizontal="left"/>
    </xf>
    <xf numFmtId="39" fontId="26" fillId="0" borderId="0" xfId="16" applyNumberFormat="1" applyFont="1" applyFill="1" applyAlignment="1">
      <alignment horizontal="left"/>
    </xf>
    <xf numFmtId="2" fontId="8" fillId="0" borderId="0" xfId="16" applyNumberFormat="1" applyFont="1" applyFill="1" applyAlignment="1">
      <alignment/>
    </xf>
    <xf numFmtId="39" fontId="26" fillId="0" borderId="0" xfId="16" applyNumberFormat="1" applyFont="1" applyFill="1" applyAlignment="1">
      <alignment/>
    </xf>
    <xf numFmtId="2" fontId="4" fillId="0" borderId="0" xfId="16" applyNumberFormat="1" applyFont="1" applyFill="1" applyAlignment="1">
      <alignment/>
    </xf>
    <xf numFmtId="2" fontId="8" fillId="0" borderId="0" xfId="16" applyNumberFormat="1" applyFont="1" applyFill="1" applyAlignment="1">
      <alignment/>
    </xf>
    <xf numFmtId="2" fontId="12" fillId="0" borderId="0" xfId="16" applyNumberFormat="1" applyFont="1" applyFill="1" applyBorder="1" applyAlignment="1">
      <alignment/>
    </xf>
    <xf numFmtId="2" fontId="8" fillId="0" borderId="0" xfId="16" applyNumberFormat="1" applyFont="1" applyFill="1" applyAlignment="1" applyProtection="1">
      <alignment horizontal="center"/>
      <protection locked="0"/>
    </xf>
    <xf numFmtId="2" fontId="12" fillId="0" borderId="2" xfId="16" applyNumberFormat="1" applyFont="1" applyFill="1" applyBorder="1" applyAlignment="1">
      <alignment horizontal="center"/>
    </xf>
    <xf numFmtId="2" fontId="12" fillId="0" borderId="15" xfId="16" applyNumberFormat="1" applyFont="1" applyFill="1" applyBorder="1" applyAlignment="1">
      <alignment horizontal="center"/>
    </xf>
    <xf numFmtId="2" fontId="12" fillId="0" borderId="0" xfId="16" applyNumberFormat="1" applyFont="1" applyFill="1" applyBorder="1" applyAlignment="1">
      <alignment horizontal="center"/>
    </xf>
    <xf numFmtId="2" fontId="12" fillId="0" borderId="14" xfId="16" applyNumberFormat="1" applyFont="1" applyFill="1" applyBorder="1" applyAlignment="1">
      <alignment/>
    </xf>
    <xf numFmtId="2" fontId="9" fillId="0" borderId="4" xfId="0" applyNumberFormat="1" applyFont="1" applyFill="1" applyBorder="1" applyAlignment="1">
      <alignment/>
    </xf>
    <xf numFmtId="2" fontId="9" fillId="0" borderId="5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9" fillId="0" borderId="6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2" fillId="0" borderId="3" xfId="16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/>
    </xf>
    <xf numFmtId="2" fontId="9" fillId="0" borderId="8" xfId="0" applyNumberFormat="1" applyFont="1" applyFill="1" applyBorder="1" applyAlignment="1">
      <alignment/>
    </xf>
    <xf numFmtId="2" fontId="9" fillId="0" borderId="9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2" fontId="12" fillId="0" borderId="16" xfId="16" applyNumberFormat="1" applyFont="1" applyFill="1" applyBorder="1" applyAlignment="1">
      <alignment horizontal="center"/>
    </xf>
    <xf numFmtId="2" fontId="12" fillId="0" borderId="0" xfId="16" applyNumberFormat="1" applyFont="1" applyFill="1" applyAlignment="1" quotePrefix="1">
      <alignment/>
    </xf>
    <xf numFmtId="0" fontId="12" fillId="0" borderId="3" xfId="16" applyNumberFormat="1" applyFont="1" applyFill="1" applyBorder="1" applyAlignment="1">
      <alignment horizontal="center"/>
    </xf>
    <xf numFmtId="0" fontId="12" fillId="0" borderId="0" xfId="24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12" fillId="0" borderId="0" xfId="16" applyNumberFormat="1" applyFont="1" applyFill="1" applyAlignment="1">
      <alignment/>
    </xf>
    <xf numFmtId="0" fontId="12" fillId="0" borderId="0" xfId="16" applyNumberFormat="1" applyFont="1" applyFill="1" applyBorder="1" applyAlignment="1">
      <alignment/>
    </xf>
    <xf numFmtId="39" fontId="11" fillId="0" borderId="0" xfId="16" applyNumberFormat="1" applyFont="1" applyFill="1" applyAlignment="1">
      <alignment/>
    </xf>
    <xf numFmtId="39" fontId="11" fillId="0" borderId="0" xfId="16" applyNumberFormat="1" applyFont="1" applyFill="1" applyAlignment="1">
      <alignment horizontal="left"/>
    </xf>
    <xf numFmtId="39" fontId="2" fillId="0" borderId="0" xfId="16" applyNumberFormat="1" applyFont="1" applyFill="1" applyBorder="1" applyAlignment="1" applyProtection="1">
      <alignment horizontal="center"/>
      <protection locked="0"/>
    </xf>
    <xf numFmtId="2" fontId="12" fillId="0" borderId="4" xfId="0" applyNumberFormat="1" applyFont="1" applyFill="1" applyBorder="1" applyAlignment="1">
      <alignment/>
    </xf>
    <xf numFmtId="2" fontId="12" fillId="0" borderId="5" xfId="0" applyNumberFormat="1" applyFont="1" applyFill="1" applyBorder="1" applyAlignment="1">
      <alignment/>
    </xf>
    <xf numFmtId="2" fontId="12" fillId="0" borderId="6" xfId="0" applyNumberFormat="1" applyFont="1" applyFill="1" applyBorder="1" applyAlignment="1">
      <alignment/>
    </xf>
    <xf numFmtId="2" fontId="12" fillId="0" borderId="7" xfId="0" applyNumberFormat="1" applyFont="1" applyFill="1" applyBorder="1" applyAlignment="1">
      <alignment/>
    </xf>
    <xf numFmtId="2" fontId="12" fillId="0" borderId="8" xfId="0" applyNumberFormat="1" applyFont="1" applyFill="1" applyBorder="1" applyAlignment="1">
      <alignment/>
    </xf>
    <xf numFmtId="177" fontId="12" fillId="0" borderId="7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177" fontId="12" fillId="0" borderId="8" xfId="0" applyNumberFormat="1" applyFont="1" applyFill="1" applyBorder="1" applyAlignment="1">
      <alignment/>
    </xf>
    <xf numFmtId="2" fontId="12" fillId="0" borderId="9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2" fillId="0" borderId="9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39" fontId="2" fillId="0" borderId="0" xfId="16" applyNumberFormat="1" applyFont="1" applyFill="1" applyAlignment="1">
      <alignment/>
    </xf>
    <xf numFmtId="39" fontId="8" fillId="0" borderId="0" xfId="16" applyNumberFormat="1" applyFont="1" applyFill="1" applyAlignment="1" quotePrefix="1">
      <alignment/>
    </xf>
    <xf numFmtId="39" fontId="8" fillId="0" borderId="0" xfId="16" applyNumberFormat="1" applyFont="1" applyFill="1" applyBorder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 quotePrefix="1">
      <alignment/>
    </xf>
    <xf numFmtId="0" fontId="12" fillId="0" borderId="4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39" fontId="2" fillId="0" borderId="0" xfId="16" applyNumberFormat="1" applyFont="1" applyFill="1" applyAlignment="1">
      <alignment horizontal="left"/>
    </xf>
    <xf numFmtId="39" fontId="38" fillId="0" borderId="0" xfId="18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39" fontId="18" fillId="0" borderId="0" xfId="16" applyNumberFormat="1" applyFont="1" applyFill="1" applyAlignment="1">
      <alignment horizontal="left"/>
    </xf>
    <xf numFmtId="39" fontId="2" fillId="0" borderId="0" xfId="16" applyNumberFormat="1" applyFont="1" applyFill="1" applyAlignment="1">
      <alignment/>
    </xf>
    <xf numFmtId="49" fontId="2" fillId="0" borderId="0" xfId="16" applyNumberFormat="1" applyFont="1" applyFill="1" applyAlignment="1">
      <alignment horizontal="left"/>
    </xf>
    <xf numFmtId="39" fontId="2" fillId="0" borderId="0" xfId="16" applyNumberFormat="1" applyFont="1" applyFill="1" applyAlignment="1">
      <alignment horizontal="centerContinuous"/>
    </xf>
    <xf numFmtId="39" fontId="2" fillId="0" borderId="0" xfId="16" applyNumberFormat="1" applyFont="1" applyFill="1" applyAlignment="1">
      <alignment horizontal="left"/>
    </xf>
    <xf numFmtId="39" fontId="2" fillId="0" borderId="0" xfId="16" applyNumberFormat="1" applyFont="1" applyFill="1" applyAlignment="1" applyProtection="1">
      <alignment/>
      <protection locked="0"/>
    </xf>
    <xf numFmtId="39" fontId="4" fillId="0" borderId="0" xfId="16" applyNumberFormat="1" applyFont="1" applyFill="1" applyAlignment="1">
      <alignment/>
    </xf>
    <xf numFmtId="39" fontId="2" fillId="0" borderId="0" xfId="16" applyNumberFormat="1" applyFont="1" applyFill="1" applyBorder="1" applyAlignment="1">
      <alignment/>
    </xf>
    <xf numFmtId="39" fontId="2" fillId="0" borderId="14" xfId="16" applyNumberFormat="1" applyFont="1" applyFill="1" applyBorder="1" applyAlignment="1">
      <alignment/>
    </xf>
    <xf numFmtId="39" fontId="2" fillId="0" borderId="2" xfId="16" applyNumberFormat="1" applyFont="1" applyFill="1" applyBorder="1" applyAlignment="1">
      <alignment horizontal="center"/>
    </xf>
    <xf numFmtId="39" fontId="2" fillId="0" borderId="15" xfId="16" applyNumberFormat="1" applyFont="1" applyFill="1" applyBorder="1" applyAlignment="1">
      <alignment horizontal="center"/>
    </xf>
    <xf numFmtId="39" fontId="2" fillId="0" borderId="0" xfId="16" applyNumberFormat="1" applyFont="1" applyFill="1" applyBorder="1" applyAlignment="1">
      <alignment horizontal="center"/>
    </xf>
    <xf numFmtId="39" fontId="2" fillId="0" borderId="3" xfId="16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39" fontId="2" fillId="0" borderId="16" xfId="16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2" fillId="0" borderId="4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2" fontId="2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177" fontId="2" fillId="0" borderId="7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9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39" fontId="2" fillId="0" borderId="0" xfId="16" applyNumberFormat="1" applyFont="1" applyFill="1" applyAlignment="1" quotePrefix="1">
      <alignment/>
    </xf>
    <xf numFmtId="39" fontId="2" fillId="0" borderId="0" xfId="16" applyNumberFormat="1" applyFont="1" applyFill="1" applyAlignment="1">
      <alignment horizontal="right"/>
    </xf>
    <xf numFmtId="176" fontId="12" fillId="0" borderId="0" xfId="0" applyNumberFormat="1" applyFont="1" applyFill="1" applyAlignment="1">
      <alignment/>
    </xf>
    <xf numFmtId="2" fontId="9" fillId="0" borderId="0" xfId="16" applyNumberFormat="1" applyFont="1" applyFill="1" applyAlignment="1">
      <alignment/>
    </xf>
    <xf numFmtId="2" fontId="9" fillId="0" borderId="0" xfId="16" applyNumberFormat="1" applyFont="1" applyFill="1" applyAlignment="1" quotePrefix="1">
      <alignment horizontal="left"/>
    </xf>
    <xf numFmtId="39" fontId="9" fillId="0" borderId="0" xfId="16" applyNumberFormat="1" applyFont="1" applyFill="1" applyAlignment="1">
      <alignment/>
    </xf>
    <xf numFmtId="2" fontId="12" fillId="0" borderId="0" xfId="16" applyNumberFormat="1" applyFont="1" applyFill="1" applyAlignment="1" applyProtection="1">
      <alignment/>
      <protection locked="0"/>
    </xf>
    <xf numFmtId="2" fontId="9" fillId="0" borderId="0" xfId="16" applyNumberFormat="1" applyFont="1" applyFill="1" applyAlignment="1">
      <alignment horizontal="left"/>
    </xf>
    <xf numFmtId="39" fontId="9" fillId="0" borderId="0" xfId="16" applyNumberFormat="1" applyFont="1" applyFill="1" applyAlignment="1">
      <alignment horizontal="left"/>
    </xf>
    <xf numFmtId="39" fontId="12" fillId="0" borderId="0" xfId="16" applyNumberFormat="1" applyFont="1" applyFill="1" applyAlignment="1" quotePrefix="1">
      <alignment horizontal="left"/>
    </xf>
    <xf numFmtId="2" fontId="9" fillId="0" borderId="4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12" fillId="0" borderId="0" xfId="16" applyNumberFormat="1" applyFont="1" applyFill="1" applyAlignment="1">
      <alignment horizontal="center"/>
    </xf>
    <xf numFmtId="2" fontId="8" fillId="0" borderId="0" xfId="16" applyNumberFormat="1" applyFont="1" applyFill="1" applyAlignment="1">
      <alignment horizontal="center"/>
    </xf>
    <xf numFmtId="2" fontId="9" fillId="0" borderId="0" xfId="16" applyNumberFormat="1" applyFont="1" applyFill="1" applyBorder="1" applyAlignment="1">
      <alignment horizontal="center"/>
    </xf>
    <xf numFmtId="39" fontId="8" fillId="0" borderId="0" xfId="16" applyNumberFormat="1" applyFont="1" applyFill="1" applyAlignment="1">
      <alignment horizontal="left"/>
    </xf>
    <xf numFmtId="204" fontId="8" fillId="0" borderId="0" xfId="16" applyNumberFormat="1" applyFont="1" applyFill="1" applyAlignment="1">
      <alignment/>
    </xf>
    <xf numFmtId="0" fontId="12" fillId="0" borderId="0" xfId="22" applyFont="1" applyFill="1" applyAlignment="1">
      <alignment horizontal="center"/>
      <protection/>
    </xf>
    <xf numFmtId="39" fontId="12" fillId="0" borderId="9" xfId="0" applyNumberFormat="1" applyFont="1" applyFill="1" applyBorder="1" applyAlignment="1">
      <alignment horizontal="center"/>
    </xf>
    <xf numFmtId="39" fontId="12" fillId="0" borderId="10" xfId="0" applyNumberFormat="1" applyFont="1" applyFill="1" applyBorder="1" applyAlignment="1">
      <alignment horizontal="center"/>
    </xf>
    <xf numFmtId="39" fontId="12" fillId="0" borderId="11" xfId="0" applyNumberFormat="1" applyFont="1" applyFill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39" fontId="29" fillId="0" borderId="0" xfId="16" applyNumberFormat="1" applyFont="1" applyFill="1" applyAlignment="1">
      <alignment horizontal="left"/>
    </xf>
    <xf numFmtId="39" fontId="31" fillId="0" borderId="0" xfId="16" applyNumberFormat="1" applyFont="1" applyFill="1" applyAlignment="1">
      <alignment/>
    </xf>
    <xf numFmtId="39" fontId="31" fillId="0" borderId="0" xfId="16" applyNumberFormat="1" applyFont="1" applyFill="1" applyAlignment="1" quotePrefix="1">
      <alignment/>
    </xf>
    <xf numFmtId="39" fontId="32" fillId="0" borderId="0" xfId="18" applyNumberFormat="1" applyFont="1" applyFill="1" applyAlignment="1">
      <alignment/>
    </xf>
    <xf numFmtId="39" fontId="12" fillId="0" borderId="0" xfId="16" applyNumberFormat="1" applyFont="1" applyFill="1" applyAlignment="1">
      <alignment horizontal="left"/>
    </xf>
    <xf numFmtId="39" fontId="12" fillId="0" borderId="0" xfId="16" applyNumberFormat="1" applyFont="1" applyFill="1" applyAlignment="1">
      <alignment horizontal="centerContinuous"/>
    </xf>
    <xf numFmtId="39" fontId="31" fillId="0" borderId="0" xfId="16" applyNumberFormat="1" applyFont="1" applyFill="1" applyAlignment="1">
      <alignment horizontal="centerContinuous"/>
    </xf>
    <xf numFmtId="39" fontId="12" fillId="0" borderId="0" xfId="16" applyNumberFormat="1" applyFont="1" applyFill="1" applyAlignment="1" applyProtection="1">
      <alignment/>
      <protection locked="0"/>
    </xf>
    <xf numFmtId="49" fontId="12" fillId="0" borderId="0" xfId="16" applyNumberFormat="1" applyFont="1" applyFill="1" applyAlignment="1">
      <alignment horizontal="left"/>
    </xf>
    <xf numFmtId="39" fontId="31" fillId="0" borderId="0" xfId="16" applyNumberFormat="1" applyFont="1" applyFill="1" applyAlignment="1">
      <alignment horizontal="left"/>
    </xf>
    <xf numFmtId="39" fontId="33" fillId="0" borderId="0" xfId="16" applyNumberFormat="1" applyFont="1" applyFill="1" applyAlignment="1">
      <alignment/>
    </xf>
    <xf numFmtId="39" fontId="34" fillId="0" borderId="0" xfId="16" applyNumberFormat="1" applyFont="1" applyFill="1" applyAlignment="1" applyProtection="1">
      <alignment horizontal="center"/>
      <protection locked="0"/>
    </xf>
    <xf numFmtId="39" fontId="34" fillId="0" borderId="0" xfId="16" applyNumberFormat="1" applyFont="1" applyFill="1" applyAlignment="1">
      <alignment/>
    </xf>
    <xf numFmtId="39" fontId="12" fillId="0" borderId="0" xfId="16" applyNumberFormat="1" applyFont="1" applyFill="1" applyBorder="1" applyAlignment="1">
      <alignment/>
    </xf>
    <xf numFmtId="39" fontId="12" fillId="0" borderId="14" xfId="16" applyNumberFormat="1" applyFont="1" applyFill="1" applyBorder="1" applyAlignment="1">
      <alignment/>
    </xf>
    <xf numFmtId="39" fontId="12" fillId="0" borderId="2" xfId="16" applyNumberFormat="1" applyFont="1" applyFill="1" applyBorder="1" applyAlignment="1">
      <alignment horizontal="center"/>
    </xf>
    <xf numFmtId="39" fontId="12" fillId="0" borderId="15" xfId="16" applyNumberFormat="1" applyFont="1" applyFill="1" applyBorder="1" applyAlignment="1">
      <alignment horizontal="center"/>
    </xf>
    <xf numFmtId="39" fontId="12" fillId="0" borderId="0" xfId="16" applyNumberFormat="1" applyFont="1" applyFill="1" applyBorder="1" applyAlignment="1">
      <alignment horizontal="center"/>
    </xf>
    <xf numFmtId="39" fontId="12" fillId="0" borderId="3" xfId="16" applyNumberFormat="1" applyFont="1" applyFill="1" applyBorder="1" applyAlignment="1">
      <alignment horizontal="center"/>
    </xf>
    <xf numFmtId="39" fontId="12" fillId="0" borderId="6" xfId="16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9" fontId="12" fillId="0" borderId="8" xfId="16" applyNumberFormat="1" applyFont="1" applyFill="1" applyBorder="1" applyAlignment="1">
      <alignment/>
    </xf>
    <xf numFmtId="39" fontId="12" fillId="0" borderId="16" xfId="16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39" fontId="12" fillId="0" borderId="0" xfId="16" applyNumberFormat="1" applyFont="1" applyFill="1" applyAlignment="1" quotePrefix="1">
      <alignment/>
    </xf>
    <xf numFmtId="39" fontId="13" fillId="0" borderId="0" xfId="16" applyNumberFormat="1" applyFont="1" applyFill="1" applyAlignment="1">
      <alignment horizontal="left"/>
    </xf>
    <xf numFmtId="39" fontId="13" fillId="0" borderId="0" xfId="16" applyNumberFormat="1" applyFont="1" applyFill="1" applyAlignment="1" quotePrefix="1">
      <alignment horizontal="left"/>
    </xf>
    <xf numFmtId="39" fontId="11" fillId="0" borderId="0" xfId="16" applyNumberFormat="1" applyFont="1" applyFill="1" applyAlignment="1">
      <alignment/>
    </xf>
    <xf numFmtId="39" fontId="12" fillId="0" borderId="9" xfId="16" applyNumberFormat="1" applyFont="1" applyFill="1" applyBorder="1" applyAlignment="1">
      <alignment/>
    </xf>
    <xf numFmtId="39" fontId="12" fillId="0" borderId="10" xfId="16" applyNumberFormat="1" applyFont="1" applyFill="1" applyBorder="1" applyAlignment="1">
      <alignment/>
    </xf>
    <xf numFmtId="0" fontId="12" fillId="0" borderId="9" xfId="16" applyNumberFormat="1" applyFont="1" applyFill="1" applyBorder="1" applyAlignment="1">
      <alignment/>
    </xf>
    <xf numFmtId="0" fontId="12" fillId="0" borderId="10" xfId="16" applyNumberFormat="1" applyFont="1" applyFill="1" applyBorder="1" applyAlignment="1">
      <alignment/>
    </xf>
    <xf numFmtId="0" fontId="12" fillId="0" borderId="11" xfId="16" applyNumberFormat="1" applyFont="1" applyFill="1" applyBorder="1" applyAlignment="1">
      <alignment/>
    </xf>
    <xf numFmtId="0" fontId="12" fillId="0" borderId="9" xfId="16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/>
    </xf>
    <xf numFmtId="0" fontId="12" fillId="0" borderId="10" xfId="16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39" fontId="24" fillId="0" borderId="0" xfId="16" applyNumberFormat="1" applyFont="1" applyFill="1" applyAlignment="1">
      <alignment/>
    </xf>
    <xf numFmtId="39" fontId="24" fillId="0" borderId="0" xfId="16" applyNumberFormat="1" applyFont="1" applyFill="1" applyAlignment="1" quotePrefix="1">
      <alignment/>
    </xf>
    <xf numFmtId="39" fontId="12" fillId="0" borderId="0" xfId="16" applyNumberFormat="1" applyFont="1" applyFill="1" applyAlignment="1" quotePrefix="1">
      <alignment horizontal="centerContinuous"/>
    </xf>
    <xf numFmtId="39" fontId="12" fillId="0" borderId="4" xfId="16" applyNumberFormat="1" applyFont="1" applyFill="1" applyBorder="1" applyAlignment="1">
      <alignment horizontal="center"/>
    </xf>
    <xf numFmtId="39" fontId="12" fillId="0" borderId="14" xfId="16" applyNumberFormat="1" applyFont="1" applyFill="1" applyBorder="1" applyAlignment="1">
      <alignment horizontal="center"/>
    </xf>
    <xf numFmtId="39" fontId="1" fillId="0" borderId="0" xfId="16" applyNumberFormat="1" applyFont="1" applyBorder="1" applyAlignment="1">
      <alignment horizontal="left"/>
    </xf>
    <xf numFmtId="39" fontId="36" fillId="0" borderId="0" xfId="16" applyNumberFormat="1" applyFont="1" applyFill="1" applyBorder="1" applyAlignment="1">
      <alignment horizontal="centerContinuous"/>
    </xf>
    <xf numFmtId="2" fontId="0" fillId="0" borderId="0" xfId="0" applyNumberFormat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Komma" xfId="19"/>
    <cellStyle name="Lien hypertexte" xfId="20"/>
    <cellStyle name="normal" xfId="21"/>
    <cellStyle name="Normal_PARAM_S1" xfId="22"/>
    <cellStyle name="Normal_Plan1" xfId="23"/>
    <cellStyle name="Percent" xfId="24"/>
    <cellStyle name="Separador de milhares_Plan1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Round Robin III Phase 3</a:t>
            </a:r>
          </a:p>
        </c:rich>
      </c:tx>
      <c:layout>
        <c:manualLayout>
          <c:xMode val="factor"/>
          <c:yMode val="factor"/>
          <c:x val="0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05"/>
          <c:w val="0.6607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result!$A$25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/>
            </c:strRef>
          </c:cat>
          <c:val>
            <c:numRef>
              <c:f>result!$B$25:$G$25</c:f>
              <c:numCache/>
            </c:numRef>
          </c:val>
          <c:smooth val="0"/>
        </c:ser>
        <c:ser>
          <c:idx val="1"/>
          <c:order val="1"/>
          <c:tx>
            <c:strRef>
              <c:f>result!$A$26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/>
            </c:strRef>
          </c:cat>
          <c:val>
            <c:numRef>
              <c:f>result!$B$26:$G$26</c:f>
              <c:numCache/>
            </c:numRef>
          </c:val>
          <c:smooth val="0"/>
        </c:ser>
        <c:ser>
          <c:idx val="2"/>
          <c:order val="2"/>
          <c:tx>
            <c:strRef>
              <c:f>result!$A$27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/>
            </c:strRef>
          </c:cat>
          <c:val>
            <c:numRef>
              <c:f>result!$B$27:$G$27</c:f>
              <c:numCache/>
            </c:numRef>
          </c:val>
          <c:smooth val="0"/>
        </c:ser>
        <c:ser>
          <c:idx val="3"/>
          <c:order val="3"/>
          <c:tx>
            <c:strRef>
              <c:f>result!$A$28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/>
            </c:strRef>
          </c:cat>
          <c:val>
            <c:numRef>
              <c:f>result!$B$28:$G$28</c:f>
              <c:numCache/>
            </c:numRef>
          </c:val>
          <c:smooth val="0"/>
        </c:ser>
        <c:ser>
          <c:idx val="4"/>
          <c:order val="4"/>
          <c:tx>
            <c:strRef>
              <c:f>result!$A$29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result!$B$24:$G$24</c:f>
              <c:strCache/>
            </c:strRef>
          </c:cat>
          <c:val>
            <c:numRef>
              <c:f>result!$B$29:$G$29</c:f>
              <c:numCache/>
            </c:numRef>
          </c:val>
          <c:smooth val="0"/>
        </c:ser>
        <c:ser>
          <c:idx val="5"/>
          <c:order val="5"/>
          <c:tx>
            <c:strRef>
              <c:f>result!$A$30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/>
            </c:strRef>
          </c:cat>
          <c:val>
            <c:numRef>
              <c:f>result!$B$30:$G$30</c:f>
              <c:numCache/>
            </c:numRef>
          </c:val>
          <c:smooth val="0"/>
        </c:ser>
        <c:ser>
          <c:idx val="6"/>
          <c:order val="6"/>
          <c:tx>
            <c:strRef>
              <c:f>result!$A$31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/>
            </c:strRef>
          </c:cat>
          <c:val>
            <c:numRef>
              <c:f>result!$B$31:$G$31</c:f>
              <c:numCache/>
            </c:numRef>
          </c:val>
          <c:smooth val="0"/>
        </c:ser>
        <c:ser>
          <c:idx val="7"/>
          <c:order val="7"/>
          <c:tx>
            <c:strRef>
              <c:f>result!$A$32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/>
            </c:strRef>
          </c:cat>
          <c:val>
            <c:numRef>
              <c:f>result!$B$32:$G$32</c:f>
              <c:numCache/>
            </c:numRef>
          </c:val>
          <c:smooth val="0"/>
        </c:ser>
        <c:ser>
          <c:idx val="8"/>
          <c:order val="8"/>
          <c:tx>
            <c:strRef>
              <c:f>result!$A$33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/>
            </c:strRef>
          </c:cat>
          <c:val>
            <c:numRef>
              <c:f>result!$B$33:$G$33</c:f>
              <c:numCache/>
            </c:numRef>
          </c:val>
          <c:smooth val="0"/>
        </c:ser>
        <c:ser>
          <c:idx val="9"/>
          <c:order val="9"/>
          <c:tx>
            <c:strRef>
              <c:f>result!$A$34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/>
            </c:strRef>
          </c:cat>
          <c:val>
            <c:numRef>
              <c:f>result!$B$34:$G$34</c:f>
              <c:numCache/>
            </c:numRef>
          </c:val>
          <c:smooth val="0"/>
        </c:ser>
        <c:ser>
          <c:idx val="10"/>
          <c:order val="10"/>
          <c:tx>
            <c:strRef>
              <c:f>result!$A$35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/>
            </c:strRef>
          </c:cat>
          <c:val>
            <c:numRef>
              <c:f>result!$B$35:$G$35</c:f>
              <c:numCache/>
            </c:numRef>
          </c:val>
          <c:smooth val="0"/>
        </c:ser>
        <c:ser>
          <c:idx val="11"/>
          <c:order val="11"/>
          <c:tx>
            <c:strRef>
              <c:f>result!$A$36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result!$B$24:$G$24</c:f>
              <c:strCache/>
            </c:strRef>
          </c:cat>
          <c:val>
            <c:numRef>
              <c:f>result!$B$36:$G$36</c:f>
              <c:numCache/>
            </c:numRef>
          </c:val>
          <c:smooth val="0"/>
        </c:ser>
        <c:ser>
          <c:idx val="12"/>
          <c:order val="12"/>
          <c:tx>
            <c:strRef>
              <c:f>result!$A$37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result!$B$24:$G$24</c:f>
              <c:strCache/>
            </c:strRef>
          </c:cat>
          <c:val>
            <c:numRef>
              <c:f>result!$B$37:$G$37</c:f>
              <c:numCache/>
            </c:numRef>
          </c:val>
          <c:smooth val="0"/>
        </c:ser>
        <c:ser>
          <c:idx val="13"/>
          <c:order val="13"/>
          <c:tx>
            <c:strRef>
              <c:f>result!$A$38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/>
            </c:strRef>
          </c:cat>
          <c:val>
            <c:numRef>
              <c:f>result!$B$38:$G$38</c:f>
              <c:numCache/>
            </c:numRef>
          </c:val>
          <c:smooth val="0"/>
        </c:ser>
        <c:ser>
          <c:idx val="14"/>
          <c:order val="14"/>
          <c:tx>
            <c:strRef>
              <c:f>result!$A$39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result!$B$24:$G$24</c:f>
              <c:strCache/>
            </c:strRef>
          </c:cat>
          <c:val>
            <c:numRef>
              <c:f>result!$B$39:$G$39</c:f>
              <c:numCache/>
            </c:numRef>
          </c:val>
          <c:smooth val="0"/>
        </c:ser>
        <c:ser>
          <c:idx val="15"/>
          <c:order val="15"/>
          <c:tx>
            <c:strRef>
              <c:f>result!$A$40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/>
            </c:strRef>
          </c:cat>
          <c:val>
            <c:numRef>
              <c:f>result!$B$40:$G$40</c:f>
              <c:numCache/>
            </c:numRef>
          </c:val>
          <c:smooth val="0"/>
        </c:ser>
        <c:ser>
          <c:idx val="16"/>
          <c:order val="16"/>
          <c:tx>
            <c:strRef>
              <c:f>result!$A$41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result!$B$24:$G$24</c:f>
              <c:strCache/>
            </c:strRef>
          </c:cat>
          <c:val>
            <c:numRef>
              <c:f>result!$B$41:$G$41</c:f>
              <c:numCache/>
            </c:numRef>
          </c:val>
          <c:smooth val="0"/>
        </c:ser>
        <c:ser>
          <c:idx val="17"/>
          <c:order val="17"/>
          <c:tx>
            <c:strRef>
              <c:f>result!$A$42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result!$B$24:$G$24</c:f>
              <c:strCache/>
            </c:strRef>
          </c:cat>
          <c:val>
            <c:numRef>
              <c:f>result!$B$42:$G$42</c:f>
              <c:numCache/>
            </c:numRef>
          </c:val>
          <c:smooth val="0"/>
        </c:ser>
        <c:ser>
          <c:idx val="18"/>
          <c:order val="18"/>
          <c:tx>
            <c:strRef>
              <c:f>result!$A$43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/>
            </c:strRef>
          </c:cat>
          <c:val>
            <c:numRef>
              <c:f>result!$B$43:$G$43</c:f>
              <c:numCache/>
            </c:numRef>
          </c:val>
          <c:smooth val="0"/>
        </c:ser>
        <c:ser>
          <c:idx val="19"/>
          <c:order val="19"/>
          <c:tx>
            <c:strRef>
              <c:f>result!$A$44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result!$B$24:$G$24</c:f>
              <c:strCache/>
            </c:strRef>
          </c:cat>
          <c:val>
            <c:numRef>
              <c:f>result!$B$44:$G$44</c:f>
              <c:numCache/>
            </c:numRef>
          </c:val>
          <c:smooth val="0"/>
        </c:ser>
        <c:ser>
          <c:idx val="20"/>
          <c:order val="20"/>
          <c:tx>
            <c:strRef>
              <c:f>result!$A$45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/>
            </c:strRef>
          </c:cat>
          <c:val>
            <c:numRef>
              <c:f>result!$B$45:$G$45</c:f>
              <c:numCache/>
            </c:numRef>
          </c:val>
          <c:smooth val="0"/>
        </c:ser>
        <c:ser>
          <c:idx val="21"/>
          <c:order val="21"/>
          <c:tx>
            <c:strRef>
              <c:f>result!$A$50</c:f>
              <c:strCache>
                <c:ptCount val="1"/>
                <c:pt idx="0">
                  <c:v>measured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result!$B$49:$G$49</c:f>
                <c:numCache>
                  <c:ptCount val="6"/>
                  <c:pt idx="0">
                    <c:v>0.014142135623734097</c:v>
                  </c:pt>
                  <c:pt idx="1">
                    <c:v>0.018165902124583338</c:v>
                  </c:pt>
                  <c:pt idx="2">
                    <c:v>0.036178569469908925</c:v>
                  </c:pt>
                  <c:pt idx="3">
                    <c:v>0.015456030825833703</c:v>
                  </c:pt>
                  <c:pt idx="4">
                    <c:v>0.03114482300479173</c:v>
                  </c:pt>
                  <c:pt idx="5">
                    <c:v>0.024152294576985665</c:v>
                  </c:pt>
                </c:numCache>
              </c:numRef>
            </c:plus>
            <c:minus>
              <c:numRef>
                <c:f>result!$B$49:$G$49</c:f>
                <c:numCache>
                  <c:ptCount val="6"/>
                  <c:pt idx="0">
                    <c:v>0.014142135623734097</c:v>
                  </c:pt>
                  <c:pt idx="1">
                    <c:v>0.018165902124583338</c:v>
                  </c:pt>
                  <c:pt idx="2">
                    <c:v>0.036178569469908925</c:v>
                  </c:pt>
                  <c:pt idx="3">
                    <c:v>0.015456030825833703</c:v>
                  </c:pt>
                  <c:pt idx="4">
                    <c:v>0.03114482300479173</c:v>
                  </c:pt>
                  <c:pt idx="5">
                    <c:v>0.024152294576985665</c:v>
                  </c:pt>
                </c:numCache>
              </c:numRef>
            </c:minus>
            <c:noEndCap val="0"/>
          </c:errBars>
          <c:cat>
            <c:strRef>
              <c:f>result!$B$24:$G$24</c:f>
              <c:strCache/>
            </c:strRef>
          </c:cat>
          <c:val>
            <c:numRef>
              <c:f>result!$B$50:$G$50</c:f>
              <c:numCache/>
            </c:numRef>
          </c:val>
          <c:smooth val="0"/>
        </c:ser>
        <c:marker val="1"/>
        <c:axId val="35489750"/>
        <c:axId val="50972295"/>
      </c:lineChart>
      <c:catAx>
        <c:axId val="35489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position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72295"/>
        <c:crosses val="autoZero"/>
        <c:auto val="1"/>
        <c:lblOffset val="100"/>
        <c:noMultiLvlLbl val="0"/>
      </c:catAx>
      <c:valAx>
        <c:axId val="50972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magnitude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89750"/>
        <c:crossesAt val="1"/>
        <c:crossBetween val="between"/>
        <c:dispUnits/>
      </c:valAx>
      <c:spPr>
        <a:solidFill>
          <a:srgbClr val="969696"/>
        </a:solidFill>
      </c:spPr>
    </c:plotArea>
    <c:legend>
      <c:legendPos val="r"/>
      <c:layout>
        <c:manualLayout>
          <c:xMode val="edge"/>
          <c:yMode val="edge"/>
          <c:x val="0.72225"/>
          <c:y val="0"/>
          <c:w val="0.27575"/>
          <c:h val="0.99675"/>
        </c:manualLayout>
      </c:layout>
      <c:overlay val="0"/>
      <c:spPr>
        <a:solidFill>
          <a:srgbClr val="969696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Round Robin III Phase 3</a:t>
            </a:r>
          </a:p>
        </c:rich>
      </c:tx>
      <c:layout>
        <c:manualLayout>
          <c:xMode val="factor"/>
          <c:yMode val="factor"/>
          <c:x val="-0.00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805"/>
          <c:w val="0.86975"/>
          <c:h val="0.8345"/>
        </c:manualLayout>
      </c:layout>
      <c:lineChart>
        <c:grouping val="standard"/>
        <c:varyColors val="0"/>
        <c:ser>
          <c:idx val="0"/>
          <c:order val="0"/>
          <c:tx>
            <c:strRef>
              <c:f>result!$A$25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/>
            </c:numRef>
          </c:cat>
          <c:val>
            <c:numRef>
              <c:f>result!$I$25:$N$25</c:f>
              <c:numCache/>
            </c:numRef>
          </c:val>
          <c:smooth val="0"/>
        </c:ser>
        <c:ser>
          <c:idx val="1"/>
          <c:order val="1"/>
          <c:tx>
            <c:strRef>
              <c:f>result!$A$26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/>
            </c:numRef>
          </c:cat>
          <c:val>
            <c:numRef>
              <c:f>result!$I$26:$N$26</c:f>
              <c:numCache/>
            </c:numRef>
          </c:val>
          <c:smooth val="0"/>
        </c:ser>
        <c:ser>
          <c:idx val="2"/>
          <c:order val="2"/>
          <c:tx>
            <c:strRef>
              <c:f>result!$A$27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/>
            </c:numRef>
          </c:cat>
          <c:val>
            <c:numRef>
              <c:f>result!$I$27:$N$27</c:f>
              <c:numCache/>
            </c:numRef>
          </c:val>
          <c:smooth val="0"/>
        </c:ser>
        <c:ser>
          <c:idx val="3"/>
          <c:order val="3"/>
          <c:tx>
            <c:strRef>
              <c:f>result!$A$28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/>
            </c:numRef>
          </c:cat>
          <c:val>
            <c:numRef>
              <c:f>result!$I$28:$N$28</c:f>
              <c:numCache/>
            </c:numRef>
          </c:val>
          <c:smooth val="0"/>
        </c:ser>
        <c:ser>
          <c:idx val="4"/>
          <c:order val="4"/>
          <c:tx>
            <c:strRef>
              <c:f>result!$A$29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/>
            </c:numRef>
          </c:cat>
          <c:val>
            <c:numRef>
              <c:f>result!$I$29:$N$29</c:f>
              <c:numCache/>
            </c:numRef>
          </c:val>
          <c:smooth val="0"/>
        </c:ser>
        <c:ser>
          <c:idx val="5"/>
          <c:order val="5"/>
          <c:tx>
            <c:strRef>
              <c:f>result!$A$30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/>
            </c:numRef>
          </c:cat>
          <c:val>
            <c:numRef>
              <c:f>result!$I$30:$N$30</c:f>
              <c:numCache/>
            </c:numRef>
          </c:val>
          <c:smooth val="0"/>
        </c:ser>
        <c:ser>
          <c:idx val="6"/>
          <c:order val="6"/>
          <c:tx>
            <c:strRef>
              <c:f>result!$A$31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/>
            </c:numRef>
          </c:cat>
          <c:val>
            <c:numRef>
              <c:f>result!$I$31:$N$31</c:f>
              <c:numCache/>
            </c:numRef>
          </c:val>
          <c:smooth val="0"/>
        </c:ser>
        <c:ser>
          <c:idx val="7"/>
          <c:order val="7"/>
          <c:tx>
            <c:strRef>
              <c:f>result!$A$32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/>
            </c:numRef>
          </c:cat>
          <c:val>
            <c:numRef>
              <c:f>result!$I$32:$N$32</c:f>
              <c:numCache/>
            </c:numRef>
          </c:val>
          <c:smooth val="0"/>
        </c:ser>
        <c:ser>
          <c:idx val="8"/>
          <c:order val="8"/>
          <c:tx>
            <c:strRef>
              <c:f>result!$A$33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/>
            </c:numRef>
          </c:cat>
          <c:val>
            <c:numRef>
              <c:f>result!$I$33:$N$33</c:f>
              <c:numCache/>
            </c:numRef>
          </c:val>
          <c:smooth val="0"/>
        </c:ser>
        <c:ser>
          <c:idx val="9"/>
          <c:order val="9"/>
          <c:tx>
            <c:strRef>
              <c:f>result!$A$34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/>
            </c:numRef>
          </c:cat>
          <c:val>
            <c:numRef>
              <c:f>result!$I$34:$N$34</c:f>
              <c:numCache/>
            </c:numRef>
          </c:val>
          <c:smooth val="0"/>
        </c:ser>
        <c:ser>
          <c:idx val="10"/>
          <c:order val="10"/>
          <c:tx>
            <c:strRef>
              <c:f>result!$A$35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/>
            </c:numRef>
          </c:cat>
          <c:val>
            <c:numRef>
              <c:f>result!$I$35:$N$35</c:f>
              <c:numCache/>
            </c:numRef>
          </c:val>
          <c:smooth val="0"/>
        </c:ser>
        <c:ser>
          <c:idx val="11"/>
          <c:order val="11"/>
          <c:tx>
            <c:strRef>
              <c:f>result!$A$36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result!$I$24:$N$24</c:f>
              <c:numCache/>
            </c:numRef>
          </c:cat>
          <c:val>
            <c:numRef>
              <c:f>result!$I$36:$N$36</c:f>
              <c:numCache/>
            </c:numRef>
          </c:val>
          <c:smooth val="0"/>
        </c:ser>
        <c:ser>
          <c:idx val="12"/>
          <c:order val="12"/>
          <c:tx>
            <c:strRef>
              <c:f>result!$A$37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result!$I$24:$N$24</c:f>
              <c:numCache/>
            </c:numRef>
          </c:cat>
          <c:val>
            <c:numRef>
              <c:f>result!$I$37:$N$37</c:f>
              <c:numCache/>
            </c:numRef>
          </c:val>
          <c:smooth val="0"/>
        </c:ser>
        <c:ser>
          <c:idx val="13"/>
          <c:order val="13"/>
          <c:tx>
            <c:strRef>
              <c:f>result!$A$38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/>
            </c:numRef>
          </c:cat>
          <c:val>
            <c:numRef>
              <c:f>result!$I$38:$N$38</c:f>
              <c:numCache/>
            </c:numRef>
          </c:val>
          <c:smooth val="0"/>
        </c:ser>
        <c:ser>
          <c:idx val="14"/>
          <c:order val="14"/>
          <c:tx>
            <c:strRef>
              <c:f>result!$A$39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result!$I$24:$N$24</c:f>
              <c:numCache/>
            </c:numRef>
          </c:cat>
          <c:val>
            <c:numRef>
              <c:f>result!$I$39:$N$39</c:f>
              <c:numCache/>
            </c:numRef>
          </c:val>
          <c:smooth val="0"/>
        </c:ser>
        <c:ser>
          <c:idx val="15"/>
          <c:order val="15"/>
          <c:tx>
            <c:strRef>
              <c:f>result!$A$40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/>
            </c:numRef>
          </c:cat>
          <c:val>
            <c:numRef>
              <c:f>result!$I$40:$N$40</c:f>
              <c:numCache/>
            </c:numRef>
          </c:val>
          <c:smooth val="0"/>
        </c:ser>
        <c:ser>
          <c:idx val="16"/>
          <c:order val="16"/>
          <c:tx>
            <c:strRef>
              <c:f>result!$A$41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numRef>
              <c:f>result!$I$24:$N$24</c:f>
              <c:numCache/>
            </c:numRef>
          </c:cat>
          <c:val>
            <c:numRef>
              <c:f>result!$I$41:$N$41</c:f>
              <c:numCache/>
            </c:numRef>
          </c:val>
          <c:smooth val="0"/>
        </c:ser>
        <c:ser>
          <c:idx val="17"/>
          <c:order val="17"/>
          <c:tx>
            <c:strRef>
              <c:f>result!$A$42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result!$I$24:$N$24</c:f>
              <c:numCache/>
            </c:numRef>
          </c:cat>
          <c:val>
            <c:numRef>
              <c:f>result!$I$42:$N$42</c:f>
              <c:numCache/>
            </c:numRef>
          </c:val>
          <c:smooth val="0"/>
        </c:ser>
        <c:ser>
          <c:idx val="18"/>
          <c:order val="18"/>
          <c:tx>
            <c:strRef>
              <c:f>result!$A$43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/>
            </c:numRef>
          </c:cat>
          <c:val>
            <c:numRef>
              <c:f>result!$I$43:$N$43</c:f>
              <c:numCache/>
            </c:numRef>
          </c:val>
          <c:smooth val="0"/>
        </c:ser>
        <c:ser>
          <c:idx val="21"/>
          <c:order val="19"/>
          <c:tx>
            <c:strRef>
              <c:f>result!$A$44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result!$I$44:$N$44</c:f>
              <c:numCache/>
            </c:numRef>
          </c:val>
          <c:smooth val="0"/>
        </c:ser>
        <c:ser>
          <c:idx val="20"/>
          <c:order val="20"/>
          <c:tx>
            <c:strRef>
              <c:f>result!$A$45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/>
            </c:numRef>
          </c:cat>
          <c:val>
            <c:numRef>
              <c:f>result!$I$45:$N$45</c:f>
              <c:numCache/>
            </c:numRef>
          </c:val>
          <c:smooth val="0"/>
        </c:ser>
        <c:ser>
          <c:idx val="19"/>
          <c:order val="21"/>
          <c:tx>
            <c:strRef>
              <c:f>result!$A$50</c:f>
              <c:strCache>
                <c:ptCount val="1"/>
                <c:pt idx="0">
                  <c:v>measured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result!$I$49:$N$49</c:f>
                <c:numCache>
                  <c:ptCount val="6"/>
                  <c:pt idx="0">
                    <c:v>0.0795612971236654</c:v>
                  </c:pt>
                  <c:pt idx="1">
                    <c:v>0.04365266951236321</c:v>
                  </c:pt>
                  <c:pt idx="2">
                    <c:v>0.03507135583350128</c:v>
                  </c:pt>
                  <c:pt idx="3">
                    <c:v>0.014142135623734097</c:v>
                  </c:pt>
                  <c:pt idx="4">
                    <c:v>0.018767584347017606</c:v>
                  </c:pt>
                  <c:pt idx="5">
                    <c:v>0.013038404810409689</c:v>
                  </c:pt>
                </c:numCache>
              </c:numRef>
            </c:plus>
            <c:minus>
              <c:numRef>
                <c:f>result!$I$49:$N$49</c:f>
                <c:numCache>
                  <c:ptCount val="6"/>
                  <c:pt idx="0">
                    <c:v>0.0795612971236654</c:v>
                  </c:pt>
                  <c:pt idx="1">
                    <c:v>0.04365266951236321</c:v>
                  </c:pt>
                  <c:pt idx="2">
                    <c:v>0.03507135583350128</c:v>
                  </c:pt>
                  <c:pt idx="3">
                    <c:v>0.014142135623734097</c:v>
                  </c:pt>
                  <c:pt idx="4">
                    <c:v>0.018767584347017606</c:v>
                  </c:pt>
                  <c:pt idx="5">
                    <c:v>0.013038404810409689</c:v>
                  </c:pt>
                </c:numCache>
              </c:numRef>
            </c:minus>
            <c:noEndCap val="0"/>
          </c:errBars>
          <c:cat>
            <c:numRef>
              <c:f>result!$I$24:$N$24</c:f>
              <c:numCache/>
            </c:numRef>
          </c:cat>
          <c:val>
            <c:numRef>
              <c:f>result!$I$50:$N$50</c:f>
              <c:numCache/>
            </c:numRef>
          </c:val>
          <c:smooth val="0"/>
        </c:ser>
        <c:marker val="1"/>
        <c:axId val="56097472"/>
        <c:axId val="35115201"/>
      </c:lineChart>
      <c:catAx>
        <c:axId val="5609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frequency / Hz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15201"/>
        <c:crosses val="autoZero"/>
        <c:auto val="1"/>
        <c:lblOffset val="100"/>
        <c:noMultiLvlLbl val="0"/>
      </c:catAx>
      <c:valAx>
        <c:axId val="35115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magnitude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6097472"/>
        <c:crossesAt val="1"/>
        <c:crossBetween val="between"/>
        <c:dispUnits/>
      </c:valAx>
      <c:spPr>
        <a:solidFill>
          <a:srgbClr val="969696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rel./abs mean error 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26"/>
          <c:w val="0.936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result!$H$64</c:f>
              <c:strCache>
                <c:ptCount val="1"/>
                <c:pt idx="0">
                  <c:v>m. error(loc)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result!$A$65:$A$85</c:f>
              <c:numCache/>
            </c:numRef>
          </c:cat>
          <c:val>
            <c:numRef>
              <c:f>result!$H$65:$H$85</c:f>
              <c:numCache/>
            </c:numRef>
          </c:val>
        </c:ser>
        <c:ser>
          <c:idx val="1"/>
          <c:order val="1"/>
          <c:tx>
            <c:strRef>
              <c:f>result!$O$64</c:f>
              <c:strCache>
                <c:ptCount val="1"/>
                <c:pt idx="0">
                  <c:v>m. error (f)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result!$A$65:$A$85</c:f>
              <c:numCache/>
            </c:numRef>
          </c:cat>
          <c:val>
            <c:numRef>
              <c:f>result!$O$65:$O$85</c:f>
              <c:numCache/>
            </c:numRef>
          </c:val>
        </c:ser>
        <c:axId val="47601354"/>
        <c:axId val="25759003"/>
      </c:barChart>
      <c:catAx>
        <c:axId val="4760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participant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5759003"/>
        <c:crosses val="autoZero"/>
        <c:auto val="1"/>
        <c:lblOffset val="100"/>
        <c:noMultiLvlLbl val="0"/>
      </c:catAx>
      <c:valAx>
        <c:axId val="25759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rel./abs mean 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7601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555"/>
          <c:w val="0.11875"/>
          <c:h val="0.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Round Robin III Phase 2</a:t>
            </a:r>
          </a:p>
        </c:rich>
      </c:tx>
      <c:layout>
        <c:manualLayout>
          <c:xMode val="factor"/>
          <c:yMode val="factor"/>
          <c:x val="0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8"/>
          <c:w val="0.664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result!$A$25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diff_open_close!$B$25:$G$25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result!$A$26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diff_open_close!$B$26:$G$26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result!$A$27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diff_open_close!$B$27:$G$27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result!$A$28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diff_open_close!$B$28:$G$28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result!$A$29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diff_open_close!$B$29:$G$29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result!$A$30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diff_open_close!$B$30:$G$30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result!$A$31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diff_open_close!$B$31:$G$31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result!$A$32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diff_open_close!$B$32:$G$32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result!$A$33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diff_open_close!$B$33:$G$33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result!$A$34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diff_open_close!$B$34:$G$34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result!$A$35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diff_open_close!$B$35:$G$35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result!$A$36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diff_open_close!$B$36:$G$36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result!$A$37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diff_open_close!$B$37:$G$37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result!$A$38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diff_open_close!$B$38:$G$38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result!$A$39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diff_open_close!$B$39:$G$39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result!$A$40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diff_open_close!$B$40:$G$40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result!$A$41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diff_open_close!$B$41:$G$41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result!$A$42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diff_open_close!$B$42:$G$42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result!$A$43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diff_open_close!$B$43:$G$43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result!$A$44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diff_open_close!$B$44:$G$44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result!$A$45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diff_open_close!$B$45:$G$45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result!$A$50</c:f>
              <c:strCache>
                <c:ptCount val="1"/>
                <c:pt idx="0">
                  <c:v>measured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result!$B$24:$G$24</c:f>
              <c:strCache>
                <c:ptCount val="6"/>
                <c:pt idx="0">
                  <c:v>S1R1</c:v>
                </c:pt>
                <c:pt idx="1">
                  <c:v>S1R2</c:v>
                </c:pt>
                <c:pt idx="2">
                  <c:v>S1R3</c:v>
                </c:pt>
                <c:pt idx="3">
                  <c:v>S2R1</c:v>
                </c:pt>
                <c:pt idx="4">
                  <c:v>S2R2</c:v>
                </c:pt>
                <c:pt idx="5">
                  <c:v>S2R3</c:v>
                </c:pt>
              </c:strCache>
            </c:strRef>
          </c:cat>
          <c:val>
            <c:numRef>
              <c:f>diff_open_close!$B$50:$G$50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0504436"/>
        <c:axId val="6104469"/>
      </c:lineChart>
      <c:catAx>
        <c:axId val="3050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position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4469"/>
        <c:crosses val="autoZero"/>
        <c:auto val="1"/>
        <c:lblOffset val="100"/>
        <c:noMultiLvlLbl val="0"/>
      </c:catAx>
      <c:valAx>
        <c:axId val="6104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magnitude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04436"/>
        <c:crossesAt val="1"/>
        <c:crossBetween val="between"/>
        <c:dispUnits/>
      </c:valAx>
      <c:spPr>
        <a:solidFill>
          <a:srgbClr val="969696"/>
        </a:solidFill>
      </c:spPr>
    </c:plotArea>
    <c:legend>
      <c:legendPos val="r"/>
      <c:layout>
        <c:manualLayout>
          <c:xMode val="edge"/>
          <c:yMode val="edge"/>
          <c:x val="0.7205"/>
          <c:y val="0"/>
          <c:w val="0.2745"/>
          <c:h val="0.997"/>
        </c:manualLayout>
      </c:layout>
      <c:overlay val="0"/>
      <c:spPr>
        <a:solidFill>
          <a:srgbClr val="969696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Round Robin III Phase 2</a:t>
            </a:r>
          </a:p>
        </c:rich>
      </c:tx>
      <c:layout>
        <c:manualLayout>
          <c:xMode val="factor"/>
          <c:yMode val="factor"/>
          <c:x val="-0.00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04"/>
          <c:w val="0.867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result!$A$25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result!$I$25:$N$25</c:f>
              <c:numCache>
                <c:ptCount val="6"/>
                <c:pt idx="0">
                  <c:v>0.77</c:v>
                </c:pt>
                <c:pt idx="1">
                  <c:v>0.84</c:v>
                </c:pt>
                <c:pt idx="2">
                  <c:v>0.83</c:v>
                </c:pt>
                <c:pt idx="3">
                  <c:v>0.73</c:v>
                </c:pt>
                <c:pt idx="4">
                  <c:v>0.73</c:v>
                </c:pt>
                <c:pt idx="5">
                  <c:v>0.63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result!$A$26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result!$I$26:$N$26</c:f>
              <c:numCache>
                <c:ptCount val="6"/>
                <c:pt idx="0">
                  <c:v>0.81</c:v>
                </c:pt>
                <c:pt idx="1">
                  <c:v>0.86</c:v>
                </c:pt>
                <c:pt idx="2">
                  <c:v>0.85</c:v>
                </c:pt>
                <c:pt idx="3">
                  <c:v>0.76</c:v>
                </c:pt>
                <c:pt idx="4">
                  <c:v>0.73</c:v>
                </c:pt>
                <c:pt idx="5">
                  <c:v>0.63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result!$A$27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result!$I$27:$N$27</c:f>
              <c:numCache>
                <c:ptCount val="6"/>
                <c:pt idx="0">
                  <c:v>0.82</c:v>
                </c:pt>
                <c:pt idx="1">
                  <c:v>0.86</c:v>
                </c:pt>
                <c:pt idx="2">
                  <c:v>0.83</c:v>
                </c:pt>
                <c:pt idx="3">
                  <c:v>0.72</c:v>
                </c:pt>
                <c:pt idx="4">
                  <c:v>0.72</c:v>
                </c:pt>
                <c:pt idx="5">
                  <c:v>0.64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result!$A$28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result!$I$28:$N$28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result!$A$29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result!$I$29:$N$29</c:f>
              <c:numCache>
                <c:ptCount val="6"/>
                <c:pt idx="0">
                  <c:v>0.59</c:v>
                </c:pt>
                <c:pt idx="1">
                  <c:v>0.77</c:v>
                </c:pt>
                <c:pt idx="2">
                  <c:v>0.92</c:v>
                </c:pt>
                <c:pt idx="3">
                  <c:v>0.75</c:v>
                </c:pt>
                <c:pt idx="4">
                  <c:v>0.72</c:v>
                </c:pt>
                <c:pt idx="5">
                  <c:v>0.56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result!$A$30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result!$I$30:$N$30</c:f>
              <c:numCache>
                <c:ptCount val="6"/>
                <c:pt idx="0">
                  <c:v>0.76</c:v>
                </c:pt>
                <c:pt idx="1">
                  <c:v>0.83</c:v>
                </c:pt>
                <c:pt idx="2">
                  <c:v>0.84</c:v>
                </c:pt>
                <c:pt idx="3">
                  <c:v>0.73</c:v>
                </c:pt>
                <c:pt idx="4">
                  <c:v>0.71</c:v>
                </c:pt>
                <c:pt idx="5">
                  <c:v>0.61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result!$A$31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result!$I$31:$N$31</c:f>
              <c:numCache>
                <c:ptCount val="6"/>
                <c:pt idx="0">
                  <c:v>0.75</c:v>
                </c:pt>
                <c:pt idx="1">
                  <c:v>0.78</c:v>
                </c:pt>
                <c:pt idx="2">
                  <c:v>0.8</c:v>
                </c:pt>
                <c:pt idx="3">
                  <c:v>0.71</c:v>
                </c:pt>
                <c:pt idx="4">
                  <c:v>0.7</c:v>
                </c:pt>
                <c:pt idx="5">
                  <c:v>0.63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result!$A$32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result!$I$32:$N$32</c:f>
              <c:numCache>
                <c:ptCount val="6"/>
                <c:pt idx="0">
                  <c:v>0.78</c:v>
                </c:pt>
                <c:pt idx="1">
                  <c:v>0.85</c:v>
                </c:pt>
                <c:pt idx="2">
                  <c:v>0.85</c:v>
                </c:pt>
                <c:pt idx="3">
                  <c:v>0.75</c:v>
                </c:pt>
                <c:pt idx="4">
                  <c:v>0.74</c:v>
                </c:pt>
                <c:pt idx="5">
                  <c:v>0.64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result!$A$33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result!$I$33:$N$33</c:f>
              <c:numCache>
                <c:ptCount val="6"/>
                <c:pt idx="0">
                  <c:v>0.73</c:v>
                </c:pt>
                <c:pt idx="1">
                  <c:v>0.77</c:v>
                </c:pt>
                <c:pt idx="2">
                  <c:v>0.85</c:v>
                </c:pt>
                <c:pt idx="3">
                  <c:v>0.72</c:v>
                </c:pt>
                <c:pt idx="4">
                  <c:v>0.78</c:v>
                </c:pt>
                <c:pt idx="5">
                  <c:v>0.62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result!$A$34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result!$I$34:$N$34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result!$A$35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result!$I$35:$N$35</c:f>
              <c:numCache>
                <c:ptCount val="6"/>
                <c:pt idx="0">
                  <c:v>0.77</c:v>
                </c:pt>
                <c:pt idx="1">
                  <c:v>0.85</c:v>
                </c:pt>
                <c:pt idx="2">
                  <c:v>0.84</c:v>
                </c:pt>
                <c:pt idx="3">
                  <c:v>0.74</c:v>
                </c:pt>
                <c:pt idx="4">
                  <c:v>0.73</c:v>
                </c:pt>
                <c:pt idx="5">
                  <c:v>0.64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result!$A$36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result!$I$36:$N$36</c:f>
              <c:numCache>
                <c:ptCount val="6"/>
                <c:pt idx="0">
                  <c:v>0.55</c:v>
                </c:pt>
                <c:pt idx="1">
                  <c:v>0.8</c:v>
                </c:pt>
                <c:pt idx="2">
                  <c:v>0.83</c:v>
                </c:pt>
                <c:pt idx="3">
                  <c:v>0.75</c:v>
                </c:pt>
                <c:pt idx="4">
                  <c:v>0.82</c:v>
                </c:pt>
                <c:pt idx="5">
                  <c:v>0.57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result!$A$37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result!$I$37:$N$37</c:f>
              <c:numCache>
                <c:ptCount val="6"/>
                <c:pt idx="0">
                  <c:v>0.766</c:v>
                </c:pt>
                <c:pt idx="1">
                  <c:v>0.666</c:v>
                </c:pt>
                <c:pt idx="2">
                  <c:v>0.642</c:v>
                </c:pt>
                <c:pt idx="3">
                  <c:v>0.592</c:v>
                </c:pt>
                <c:pt idx="4">
                  <c:v>0.504</c:v>
                </c:pt>
                <c:pt idx="5">
                  <c:v>0.458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result!$A$38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result!$I$38:$N$38</c:f>
              <c:numCache>
                <c:ptCount val="6"/>
                <c:pt idx="0">
                  <c:v>0.94</c:v>
                </c:pt>
                <c:pt idx="1">
                  <c:v>0.97</c:v>
                </c:pt>
                <c:pt idx="2">
                  <c:v>0.93</c:v>
                </c:pt>
                <c:pt idx="3">
                  <c:v>0.8</c:v>
                </c:pt>
                <c:pt idx="4">
                  <c:v>0.79</c:v>
                </c:pt>
                <c:pt idx="5">
                  <c:v>0.66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result!$A$39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result!$I$39:$N$39</c:f>
              <c:numCache>
                <c:ptCount val="6"/>
                <c:pt idx="0">
                  <c:v>0.88</c:v>
                </c:pt>
                <c:pt idx="1">
                  <c:v>0.94</c:v>
                </c:pt>
                <c:pt idx="2">
                  <c:v>0.9</c:v>
                </c:pt>
                <c:pt idx="3">
                  <c:v>0.8</c:v>
                </c:pt>
                <c:pt idx="4">
                  <c:v>0.77</c:v>
                </c:pt>
                <c:pt idx="5">
                  <c:v>0.67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result!$A$40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result!$I$40:$N$40</c:f>
              <c:numCache>
                <c:ptCount val="6"/>
                <c:pt idx="0">
                  <c:v>0.838254</c:v>
                </c:pt>
                <c:pt idx="1">
                  <c:v>0.90396</c:v>
                </c:pt>
                <c:pt idx="2">
                  <c:v>0.901374</c:v>
                </c:pt>
                <c:pt idx="3">
                  <c:v>0.798152</c:v>
                </c:pt>
                <c:pt idx="4">
                  <c:v>0.793842</c:v>
                </c:pt>
                <c:pt idx="5">
                  <c:v>0.67845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result!$A$41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result!$I$41:$N$41</c:f>
              <c:numCache>
                <c:ptCount val="6"/>
                <c:pt idx="0">
                  <c:v>0.69</c:v>
                </c:pt>
                <c:pt idx="1">
                  <c:v>0.73</c:v>
                </c:pt>
                <c:pt idx="2">
                  <c:v>0.82</c:v>
                </c:pt>
                <c:pt idx="3">
                  <c:v>0.7</c:v>
                </c:pt>
                <c:pt idx="4">
                  <c:v>0.75</c:v>
                </c:pt>
                <c:pt idx="5">
                  <c:v>0.67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result!$A$42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result!$I$42:$N$42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result!$A$43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result!$I$43:$N$43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1"/>
          <c:order val="19"/>
          <c:tx>
            <c:strRef>
              <c:f>result!$A$44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result!$I$44:$N$44</c:f>
              <c:numCache>
                <c:ptCount val="6"/>
                <c:pt idx="0">
                  <c:v>0.59</c:v>
                </c:pt>
                <c:pt idx="1">
                  <c:v>0.79</c:v>
                </c:pt>
                <c:pt idx="2">
                  <c:v>0.83</c:v>
                </c:pt>
                <c:pt idx="3">
                  <c:v>0.79</c:v>
                </c:pt>
                <c:pt idx="4">
                  <c:v>0.75</c:v>
                </c:pt>
                <c:pt idx="5">
                  <c:v>0.6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result!$A$45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result!$I$45:$N$45</c:f>
              <c:numCache>
                <c:ptCount val="6"/>
                <c:pt idx="0">
                  <c:v>0.8333333333333334</c:v>
                </c:pt>
                <c:pt idx="1">
                  <c:v>0.8733333333333334</c:v>
                </c:pt>
                <c:pt idx="2">
                  <c:v>0.8666666666666667</c:v>
                </c:pt>
                <c:pt idx="3">
                  <c:v>0.7766666666666667</c:v>
                </c:pt>
                <c:pt idx="4">
                  <c:v>0.75</c:v>
                </c:pt>
                <c:pt idx="5">
                  <c:v>0.65</c:v>
                </c:pt>
              </c:numCache>
            </c:numRef>
          </c:val>
          <c:smooth val="0"/>
        </c:ser>
        <c:ser>
          <c:idx val="19"/>
          <c:order val="21"/>
          <c:tx>
            <c:strRef>
              <c:f>result!$A$50</c:f>
              <c:strCache>
                <c:ptCount val="1"/>
                <c:pt idx="0">
                  <c:v>measured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result!$I$24:$N$24</c:f>
              <c:numCach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result!$I$49:$N$49</c:f>
              <c:numCache>
                <c:ptCount val="6"/>
                <c:pt idx="0">
                  <c:v>0.0795612971236654</c:v>
                </c:pt>
                <c:pt idx="1">
                  <c:v>0.04365266951236321</c:v>
                </c:pt>
                <c:pt idx="2">
                  <c:v>0.03507135583350128</c:v>
                </c:pt>
                <c:pt idx="3">
                  <c:v>0.014142135623734097</c:v>
                </c:pt>
                <c:pt idx="4">
                  <c:v>0.018767584347017606</c:v>
                </c:pt>
                <c:pt idx="5">
                  <c:v>0.013038404810409689</c:v>
                </c:pt>
              </c:numCache>
            </c:numRef>
          </c:val>
          <c:smooth val="0"/>
        </c:ser>
        <c:marker val="1"/>
        <c:axId val="54940222"/>
        <c:axId val="24699951"/>
      </c:lineChart>
      <c:catAx>
        <c:axId val="5494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frequency / Hz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99951"/>
        <c:crosses val="autoZero"/>
        <c:auto val="1"/>
        <c:lblOffset val="100"/>
        <c:noMultiLvlLbl val="0"/>
      </c:catAx>
      <c:valAx>
        <c:axId val="24699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magnitude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4940222"/>
        <c:crossesAt val="1"/>
        <c:crossBetween val="between"/>
        <c:dispUnits/>
      </c:valAx>
      <c:spPr>
        <a:solidFill>
          <a:srgbClr val="969696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18</xdr:row>
      <xdr:rowOff>285750</xdr:rowOff>
    </xdr:to>
    <xdr:graphicFrame>
      <xdr:nvGraphicFramePr>
        <xdr:cNvPr id="1" name="Chart 5"/>
        <xdr:cNvGraphicFramePr/>
      </xdr:nvGraphicFramePr>
      <xdr:xfrm>
        <a:off x="0" y="0"/>
        <a:ext cx="66960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809625</xdr:colOff>
      <xdr:row>0</xdr:row>
      <xdr:rowOff>9525</xdr:rowOff>
    </xdr:from>
    <xdr:to>
      <xdr:col>13</xdr:col>
      <xdr:colOff>85725</xdr:colOff>
      <xdr:row>18</xdr:row>
      <xdr:rowOff>285750</xdr:rowOff>
    </xdr:to>
    <xdr:graphicFrame>
      <xdr:nvGraphicFramePr>
        <xdr:cNvPr id="2" name="Chart 7"/>
        <xdr:cNvGraphicFramePr/>
      </xdr:nvGraphicFramePr>
      <xdr:xfrm>
        <a:off x="6610350" y="9525"/>
        <a:ext cx="45053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361950</xdr:colOff>
      <xdr:row>20</xdr:row>
      <xdr:rowOff>619125</xdr:rowOff>
    </xdr:from>
    <xdr:to>
      <xdr:col>13</xdr:col>
      <xdr:colOff>552450</xdr:colOff>
      <xdr:row>31</xdr:row>
      <xdr:rowOff>38100</xdr:rowOff>
    </xdr:to>
    <xdr:graphicFrame>
      <xdr:nvGraphicFramePr>
        <xdr:cNvPr id="3" name="Chart 17"/>
        <xdr:cNvGraphicFramePr/>
      </xdr:nvGraphicFramePr>
      <xdr:xfrm>
        <a:off x="3048000" y="5019675"/>
        <a:ext cx="85344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18</xdr:row>
      <xdr:rowOff>285750</xdr:rowOff>
    </xdr:to>
    <xdr:graphicFrame>
      <xdr:nvGraphicFramePr>
        <xdr:cNvPr id="1" name="Chart 3"/>
        <xdr:cNvGraphicFramePr/>
      </xdr:nvGraphicFramePr>
      <xdr:xfrm>
        <a:off x="0" y="0"/>
        <a:ext cx="67341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809625</xdr:colOff>
      <xdr:row>0</xdr:row>
      <xdr:rowOff>9525</xdr:rowOff>
    </xdr:from>
    <xdr:to>
      <xdr:col>13</xdr:col>
      <xdr:colOff>85725</xdr:colOff>
      <xdr:row>18</xdr:row>
      <xdr:rowOff>285750</xdr:rowOff>
    </xdr:to>
    <xdr:graphicFrame>
      <xdr:nvGraphicFramePr>
        <xdr:cNvPr id="2" name="Chart 5"/>
        <xdr:cNvGraphicFramePr/>
      </xdr:nvGraphicFramePr>
      <xdr:xfrm>
        <a:off x="6648450" y="9525"/>
        <a:ext cx="43910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9"/>
  <dimension ref="A1:DJ85"/>
  <sheetViews>
    <sheetView tabSelected="1" zoomScale="75" zoomScaleNormal="75" workbookViewId="0" topLeftCell="A1">
      <selection activeCell="A1" sqref="A1"/>
    </sheetView>
  </sheetViews>
  <sheetFormatPr defaultColWidth="11.5546875" defaultRowHeight="15"/>
  <cols>
    <col min="1" max="1" width="15.6640625" style="0" customWidth="1"/>
    <col min="2" max="2" width="9.3359375" style="0" customWidth="1"/>
    <col min="3" max="3" width="6.3359375" style="0" customWidth="1"/>
    <col min="4" max="5" width="6.10546875" style="0" customWidth="1"/>
    <col min="6" max="6" width="6.3359375" style="0" customWidth="1"/>
    <col min="7" max="7" width="5.99609375" style="0" customWidth="1"/>
    <col min="8" max="8" width="11.77734375" style="0" customWidth="1"/>
    <col min="9" max="9" width="11.88671875" style="0" bestFit="1" customWidth="1"/>
    <col min="10" max="10" width="13.4453125" style="0" customWidth="1"/>
    <col min="11" max="14" width="11.88671875" style="0" bestFit="1" customWidth="1"/>
  </cols>
  <sheetData>
    <row r="1" ht="15">
      <c r="A1">
        <v>85</v>
      </c>
    </row>
    <row r="15" ht="15">
      <c r="H15" t="s">
        <v>29</v>
      </c>
    </row>
    <row r="16" ht="15">
      <c r="H16" t="s">
        <v>30</v>
      </c>
    </row>
    <row r="18" ht="27.75" customHeight="1" thickBot="1"/>
    <row r="19" spans="1:11" ht="48.75" customHeight="1" thickBot="1">
      <c r="A19" s="18" t="s">
        <v>24</v>
      </c>
      <c r="B19" s="355" t="str">
        <f>INDEX(1!$A$15:$A$85,1+12*(A20-1),0)</f>
        <v>1000 Hz</v>
      </c>
      <c r="C19" s="356"/>
      <c r="E19" s="18" t="s">
        <v>23</v>
      </c>
      <c r="H19" s="39" t="str">
        <f>INDEX(1!$A$17:$A$25,$E$20,0)</f>
        <v>T30/s</v>
      </c>
      <c r="J19" s="18" t="s">
        <v>26</v>
      </c>
      <c r="K19" s="69" t="str">
        <f>INDEX($B$24:$G$24,0,$J$20)</f>
        <v>S1R1</v>
      </c>
    </row>
    <row r="20" spans="1:10" ht="15">
      <c r="A20" s="40">
        <v>4</v>
      </c>
      <c r="E20">
        <v>1</v>
      </c>
      <c r="H20" s="123" t="s">
        <v>55</v>
      </c>
      <c r="J20">
        <v>1</v>
      </c>
    </row>
    <row r="21" ht="57" customHeight="1"/>
    <row r="22" spans="1:14" ht="31.5" customHeight="1">
      <c r="A22" s="51" t="s">
        <v>31</v>
      </c>
      <c r="B22" s="50" t="str">
        <f>INDEX(H15:H16,C22+1)</f>
        <v>closed</v>
      </c>
      <c r="C22">
        <v>1</v>
      </c>
      <c r="I22" s="36"/>
      <c r="J22" s="36"/>
      <c r="K22" s="36"/>
      <c r="L22" s="36"/>
      <c r="M22" s="36"/>
      <c r="N22" s="36"/>
    </row>
    <row r="23" spans="2:14" ht="22.5" customHeight="1">
      <c r="B23" s="357" t="s">
        <v>26</v>
      </c>
      <c r="C23" s="357"/>
      <c r="D23" s="357"/>
      <c r="E23" s="357"/>
      <c r="F23" s="357"/>
      <c r="G23" s="357"/>
      <c r="I23" s="358" t="s">
        <v>25</v>
      </c>
      <c r="J23" s="358"/>
      <c r="K23" s="358"/>
      <c r="L23" s="358"/>
      <c r="M23" s="358"/>
      <c r="N23" s="358"/>
    </row>
    <row r="24" spans="1:15" ht="15.75" thickBot="1">
      <c r="A24" s="41" t="s">
        <v>22</v>
      </c>
      <c r="B24" s="44" t="s">
        <v>2</v>
      </c>
      <c r="C24" s="44" t="s">
        <v>3</v>
      </c>
      <c r="D24" s="44" t="s">
        <v>4</v>
      </c>
      <c r="E24" s="44" t="s">
        <v>5</v>
      </c>
      <c r="F24" s="44" t="s">
        <v>6</v>
      </c>
      <c r="G24" s="44" t="s">
        <v>7</v>
      </c>
      <c r="H24" s="44"/>
      <c r="I24" s="45">
        <v>125</v>
      </c>
      <c r="J24" s="45">
        <v>250</v>
      </c>
      <c r="K24" s="46">
        <v>500</v>
      </c>
      <c r="L24" s="45">
        <v>1000</v>
      </c>
      <c r="M24" s="45">
        <v>2000</v>
      </c>
      <c r="N24" s="45">
        <v>4000</v>
      </c>
      <c r="O24" s="41" t="str">
        <f aca="true" t="shared" si="0" ref="O24:O47">+A24</f>
        <v>Participant</v>
      </c>
    </row>
    <row r="25" spans="1:15" ht="15">
      <c r="A25" s="41">
        <v>1</v>
      </c>
      <c r="B25" s="68">
        <f>INDEX(1!$B$17:$O$85,$E$20+12*($A$20-1),B$51+$C$22*8)</f>
        <v>0.73</v>
      </c>
      <c r="C25" s="68">
        <f>INDEX(1!$B$17:$O$85,$E$20+12*($A$20-1),C$51+$C$22*8)</f>
        <v>0.75</v>
      </c>
      <c r="D25" s="68">
        <f>INDEX(1!$B$17:$O$85,$E$20+12*($A$20-1),D$51+$C$22*8)</f>
        <v>0.75</v>
      </c>
      <c r="E25" s="68">
        <f>INDEX(1!$B$17:$O$85,$E$20+12*($A$20-1),E$51+$C$22*8)</f>
        <v>0.74</v>
      </c>
      <c r="F25" s="68">
        <f>INDEX(1!$B$17:$O$85,$E$20+12*($A$20-1),F$51+$C$22*8)</f>
        <v>0.75</v>
      </c>
      <c r="G25" s="68">
        <f>INDEX(1!$B$17:$O$85,$E$20+12*($A$20-1),G$51+$C$22*8)</f>
        <v>0.75</v>
      </c>
      <c r="H25" s="36"/>
      <c r="I25" s="42">
        <f>INDEX(1!$B$17:$O$85,$E$20,$J$20+$C$22*8)</f>
        <v>0.77</v>
      </c>
      <c r="J25" s="42">
        <f>INDEX(1!$B$17:$O$85,$E$20+12,$J$20+$C$22*8)</f>
        <v>0.84</v>
      </c>
      <c r="K25" s="42">
        <f>INDEX(1!$B$17:$O$85,$E$20+24,$J$20+$C$22*8)</f>
        <v>0.83</v>
      </c>
      <c r="L25" s="42">
        <f>INDEX(1!$B$17:$O$85,$E$20+36,$J$20+$C$22*8)</f>
        <v>0.73</v>
      </c>
      <c r="M25" s="42">
        <f>INDEX(1!$B$17:$O$85,$E$20+48,$J$20+$C$22*8)</f>
        <v>0.73</v>
      </c>
      <c r="N25" s="42">
        <f>INDEX(1!$B$17:$O$85,$E$20+60,$J$20+$C$22*8)</f>
        <v>0.63</v>
      </c>
      <c r="O25" s="43">
        <f t="shared" si="0"/>
        <v>1</v>
      </c>
    </row>
    <row r="26" spans="1:15" ht="15">
      <c r="A26" s="41">
        <v>2</v>
      </c>
      <c r="B26" s="68">
        <f>INDEX(2!$B$17:$O$85,$E$20+12*($A$20-1),B$51+$C$22*8)</f>
        <v>0.76</v>
      </c>
      <c r="C26" s="68">
        <f>INDEX(2!$B$17:$O$85,$E$20+12*($A$20-1),C$51+$C$22*8)</f>
        <v>0.75</v>
      </c>
      <c r="D26" s="68">
        <f>INDEX(2!$B$17:$O$85,$E$20+12*($A$20-1),D$51+$C$22*8)</f>
        <v>0.75</v>
      </c>
      <c r="E26" s="68">
        <f>INDEX(2!$B$17:$O$85,$E$20+12*($A$20-1),E$51+$C$22*8)</f>
        <v>0.75</v>
      </c>
      <c r="F26" s="68">
        <f>INDEX(2!$B$17:$O$85,$E$20+12*($A$20-1),F$51+$C$22*8)</f>
        <v>0.76</v>
      </c>
      <c r="G26" s="68">
        <f>INDEX(2!$B$17:$O$85,$E$20+12*($A$20-1),G$51+$C$22*8)</f>
        <v>0.78</v>
      </c>
      <c r="H26" s="36"/>
      <c r="I26" s="42">
        <f>INDEX(2!$B$17:$O$85,$E$20,$J$20+$C$22*8)</f>
        <v>0.81</v>
      </c>
      <c r="J26" s="42">
        <f>INDEX(2!$B$17:$O$85,$E$20+12,$J$20+$C$22*8)</f>
        <v>0.86</v>
      </c>
      <c r="K26" s="42">
        <f>INDEX(2!$B$17:$O$85,$E$20+24,$J$20+$C$22*8)</f>
        <v>0.85</v>
      </c>
      <c r="L26" s="42">
        <f>INDEX(2!$B$17:$O$85,$E$20+36,$J$20+$C$22*8)</f>
        <v>0.76</v>
      </c>
      <c r="M26" s="42">
        <f>INDEX(2!$B$17:$O$85,$E$20+48,$J$20+$C$22*8)</f>
        <v>0.73</v>
      </c>
      <c r="N26" s="42">
        <f>INDEX(2!$B$17:$O$85,$E$20+60,$J$20+$C$22*8)</f>
        <v>0.63</v>
      </c>
      <c r="O26" s="43">
        <f t="shared" si="0"/>
        <v>2</v>
      </c>
    </row>
    <row r="27" spans="1:15" ht="15">
      <c r="A27" s="41">
        <v>3</v>
      </c>
      <c r="B27" s="68">
        <f>INDEX(3!$B$17:$O$85,$E$20+12*($A$20-1),B$51+$C$22*8)</f>
        <v>0.72</v>
      </c>
      <c r="C27" s="68">
        <f>INDEX(3!$B$17:$O$85,$E$20+12*($A$20-1),C$51+$C$22*8)</f>
        <v>0.72</v>
      </c>
      <c r="D27" s="68">
        <f>INDEX(3!$B$17:$O$85,$E$20+12*($A$20-1),D$51+$C$22*8)</f>
        <v>0.71</v>
      </c>
      <c r="E27" s="68">
        <f>INDEX(3!$B$17:$O$85,$E$20+12*($A$20-1),E$51+$C$22*8)</f>
        <v>0.71</v>
      </c>
      <c r="F27" s="68">
        <f>INDEX(3!$B$17:$O$85,$E$20+12*($A$20-1),F$51+$C$22*8)</f>
        <v>0.72</v>
      </c>
      <c r="G27" s="68">
        <f>INDEX(3!$B$17:$O$85,$E$20+12*($A$20-1),G$51+$C$22*8)</f>
        <v>0.72</v>
      </c>
      <c r="H27" s="36"/>
      <c r="I27" s="42">
        <f>INDEX(3!$B$17:$O$85,$E$20,$J$20+$C$22*8)</f>
        <v>0.82</v>
      </c>
      <c r="J27" s="42">
        <f>INDEX(3!$B$17:$O$85,$E$20+12,$J$20+$C$22*8)</f>
        <v>0.86</v>
      </c>
      <c r="K27" s="42">
        <f>INDEX(3!$B$17:$O$85,$E$20+24,$J$20+$C$22*8)</f>
        <v>0.83</v>
      </c>
      <c r="L27" s="42">
        <f>INDEX(3!$B$17:$O$85,$E$20+36,$J$20+$C$22*8)</f>
        <v>0.72</v>
      </c>
      <c r="M27" s="42">
        <f>INDEX(3!$B$17:$O$85,$E$20+48,$J$20+$C$22*8)</f>
        <v>0.72</v>
      </c>
      <c r="N27" s="42">
        <f>INDEX(3!$B$17:$O$85,$E$20+60,$J$20+$C$22*8)</f>
        <v>0.64</v>
      </c>
      <c r="O27" s="43">
        <f t="shared" si="0"/>
        <v>3</v>
      </c>
    </row>
    <row r="28" spans="1:15" ht="15">
      <c r="A28" s="41">
        <v>4</v>
      </c>
      <c r="B28" s="68">
        <f>INDEX(4!$B$17:$O$85,$E$20+12*($A$20-1),B$51+$C$22*8)</f>
        <v>0</v>
      </c>
      <c r="C28" s="68">
        <f>INDEX(4!$B$17:$O$85,$E$20+12*($A$20-1),C$51+$C$22*8)</f>
        <v>0</v>
      </c>
      <c r="D28" s="68">
        <f>INDEX(4!$B$17:$O$85,$E$20+12*($A$20-1),D$51+$C$22*8)</f>
        <v>0</v>
      </c>
      <c r="E28" s="68">
        <f>INDEX(4!$B$17:$O$85,$E$20+12*($A$20-1),E$51+$C$22*8)</f>
        <v>0</v>
      </c>
      <c r="F28" s="68">
        <f>INDEX(4!$B$17:$O$85,$E$20+12*($A$20-1),F$51+$C$22*8)</f>
        <v>0</v>
      </c>
      <c r="G28" s="68">
        <f>INDEX(4!$B$17:$O$85,$E$20+12*($A$20-1),G$51+$C$22*8)</f>
        <v>0</v>
      </c>
      <c r="H28" s="36"/>
      <c r="I28" s="42">
        <f>INDEX(4!$B$17:$O$85,$E$20,$J$20+$C$22*8)</f>
        <v>0</v>
      </c>
      <c r="J28" s="42">
        <f>INDEX(4!$B$17:$O$85,$E$20+12,$J$20+$C$22*8)</f>
        <v>0</v>
      </c>
      <c r="K28" s="42">
        <f>INDEX(4!$B$17:$O$85,$E$20+24,$J$20+$C$22*8)</f>
        <v>0</v>
      </c>
      <c r="L28" s="42">
        <f>INDEX(4!$B$17:$O$85,$E$20+36,$J$20+$C$22*8)</f>
        <v>0</v>
      </c>
      <c r="M28" s="42">
        <f>INDEX(4!$B$17:$O$85,$E$20+48,$J$20+$C$22*8)</f>
        <v>0</v>
      </c>
      <c r="N28" s="42">
        <f>INDEX(4!$B$17:$O$85,$E$20+60,$J$20+$C$22*8)</f>
        <v>0</v>
      </c>
      <c r="O28" s="43">
        <f t="shared" si="0"/>
        <v>4</v>
      </c>
    </row>
    <row r="29" spans="1:15" ht="15">
      <c r="A29" s="41">
        <v>5</v>
      </c>
      <c r="B29" s="68">
        <f>INDEX(5!$B$17:$O$85,$E$20+12*($A$20-1),B$51+$C$22*8)</f>
        <v>0.75</v>
      </c>
      <c r="C29" s="68">
        <f>INDEX(5!$B$17:$O$85,$E$20+12*($A$20-1),C$51+$C$22*8)</f>
        <v>0.7</v>
      </c>
      <c r="D29" s="68">
        <f>INDEX(5!$B$17:$O$85,$E$20+12*($A$20-1),D$51+$C$22*8)</f>
        <v>0.78</v>
      </c>
      <c r="E29" s="68">
        <f>INDEX(5!$B$17:$O$85,$E$20+12*($A$20-1),E$51+$C$22*8)</f>
        <v>0.75</v>
      </c>
      <c r="F29" s="68">
        <f>INDEX(5!$B$17:$O$85,$E$20+12*($A$20-1),F$51+$C$22*8)</f>
        <v>0.74</v>
      </c>
      <c r="G29" s="68">
        <f>INDEX(5!$B$17:$O$85,$E$20+12*($A$20-1),G$51+$C$22*8)</f>
        <v>0.78</v>
      </c>
      <c r="H29" s="36"/>
      <c r="I29" s="42">
        <f>INDEX(5!$B$17:$O$85,$E$20,$J$20+$C$22*8)</f>
        <v>0.59</v>
      </c>
      <c r="J29" s="42">
        <f>INDEX(5!$B$17:$O$85,$E$20+12,$J$20+$C$22*8)</f>
        <v>0.77</v>
      </c>
      <c r="K29" s="42">
        <f>INDEX(5!$B$17:$O$85,$E$20+24,$J$20+$C$22*8)</f>
        <v>0.92</v>
      </c>
      <c r="L29" s="42">
        <f>INDEX(5!$B$17:$O$85,$E$20+36,$J$20+$C$22*8)</f>
        <v>0.75</v>
      </c>
      <c r="M29" s="42">
        <f>INDEX(5!$B$17:$O$85,$E$20+48,$J$20+$C$22*8)</f>
        <v>0.72</v>
      </c>
      <c r="N29" s="42">
        <f>INDEX(5!$B$17:$O$85,$E$20+60,$J$20+$C$22*8)</f>
        <v>0.56</v>
      </c>
      <c r="O29" s="43">
        <f t="shared" si="0"/>
        <v>5</v>
      </c>
    </row>
    <row r="30" spans="1:15" ht="15">
      <c r="A30" s="41">
        <v>6</v>
      </c>
      <c r="B30" s="68">
        <f>INDEX(6!$B$17:$O$85,$E$20+12*($A$20-1),B$51+$C$22*8)</f>
        <v>0.73</v>
      </c>
      <c r="C30" s="68">
        <f>INDEX(6!$B$17:$O$85,$E$20+12*($A$20-1),C$51+$C$22*8)</f>
        <v>0.73</v>
      </c>
      <c r="D30" s="68">
        <f>INDEX(6!$B$17:$O$85,$E$20+12*($A$20-1),D$51+$C$22*8)</f>
        <v>0.73</v>
      </c>
      <c r="E30" s="68">
        <f>INDEX(6!$B$17:$O$85,$E$20+12*($A$20-1),E$51+$C$22*8)</f>
        <v>0.73</v>
      </c>
      <c r="F30" s="68">
        <f>INDEX(6!$B$17:$O$85,$E$20+12*($A$20-1),F$51+$C$22*8)</f>
        <v>0.73</v>
      </c>
      <c r="G30" s="68">
        <f>INDEX(6!$B$17:$O$85,$E$20+12*($A$20-1),G$51+$C$22*8)</f>
        <v>0.72</v>
      </c>
      <c r="H30" s="36"/>
      <c r="I30" s="42">
        <f>INDEX(6!$B$17:$O$85,$E$20,$J$20+$C$22*8)</f>
        <v>0.76</v>
      </c>
      <c r="J30" s="42">
        <f>INDEX(6!$B$17:$O$85,$E$20+12,$J$20+$C$22*8)</f>
        <v>0.83</v>
      </c>
      <c r="K30" s="42">
        <f>INDEX(6!$B$17:$O$85,$E$20+24,$J$20+$C$22*8)</f>
        <v>0.84</v>
      </c>
      <c r="L30" s="42">
        <f>INDEX(6!$B$17:$O$85,$E$20+36,$J$20+$C$22*8)</f>
        <v>0.73</v>
      </c>
      <c r="M30" s="42">
        <f>INDEX(6!$B$17:$O$85,$E$20+48,$J$20+$C$22*8)</f>
        <v>0.71</v>
      </c>
      <c r="N30" s="42">
        <f>INDEX(6!$B$17:$O$85,$E$20+60,$J$20+$C$22*8)</f>
        <v>0.61</v>
      </c>
      <c r="O30" s="43">
        <f t="shared" si="0"/>
        <v>6</v>
      </c>
    </row>
    <row r="31" spans="1:15" ht="15">
      <c r="A31" s="41">
        <v>7</v>
      </c>
      <c r="B31" s="68">
        <f>INDEX(7!$B$17:$O$85,$E$20+12*($A$20-1),B$51+$C$22*8)</f>
        <v>0.71</v>
      </c>
      <c r="C31" s="68">
        <f>INDEX(7!$B$17:$O$85,$E$20+12*($A$20-1),C$51+$C$22*8)</f>
        <v>0.71</v>
      </c>
      <c r="D31" s="68">
        <f>INDEX(7!$B$17:$O$85,$E$20+12*($A$20-1),D$51+$C$22*8)</f>
        <v>0.71</v>
      </c>
      <c r="E31" s="68">
        <f>INDEX(7!$B$17:$O$85,$E$20+12*($A$20-1),E$51+$C$22*8)</f>
        <v>0.71</v>
      </c>
      <c r="F31" s="68">
        <f>INDEX(7!$B$17:$O$85,$E$20+12*($A$20-1),F$51+$C$22*8)</f>
        <v>0.71</v>
      </c>
      <c r="G31" s="68">
        <f>INDEX(7!$B$17:$O$85,$E$20+12*($A$20-1),G$51+$C$22*8)</f>
        <v>0.71</v>
      </c>
      <c r="H31" s="36"/>
      <c r="I31" s="42">
        <f>INDEX(7!$B$17:$O$85,$E$20,$J$20+$C$22*8)</f>
        <v>0.75</v>
      </c>
      <c r="J31" s="42">
        <f>INDEX(7!$B$17:$O$85,$E$20+12,$J$20+$C$22*8)</f>
        <v>0.78</v>
      </c>
      <c r="K31" s="42">
        <f>INDEX(7!$B$17:$O$85,$E$20+24,$J$20+$C$22*8)</f>
        <v>0.8</v>
      </c>
      <c r="L31" s="42">
        <f>INDEX(7!$B$17:$O$85,$E$20+36,$J$20+$C$22*8)</f>
        <v>0.71</v>
      </c>
      <c r="M31" s="42">
        <f>INDEX(7!$B$17:$O$85,$E$20+48,$J$20+$C$22*8)</f>
        <v>0.7</v>
      </c>
      <c r="N31" s="42">
        <f>INDEX(7!$B$17:$O$85,$E$20+60,$J$20+$C$22*8)</f>
        <v>0.63</v>
      </c>
      <c r="O31" s="43">
        <f t="shared" si="0"/>
        <v>7</v>
      </c>
    </row>
    <row r="32" spans="1:15" ht="15">
      <c r="A32" s="41">
        <v>8</v>
      </c>
      <c r="B32" s="68">
        <f>INDEX(8!$B$17:$O$85,$E$20+12*($A$20-1),B$51+$C$22*8)</f>
        <v>0.75</v>
      </c>
      <c r="C32" s="68">
        <f>INDEX(8!$B$17:$O$85,$E$20+12*($A$20-1),C$51+$C$22*8)</f>
        <v>0.77</v>
      </c>
      <c r="D32" s="68">
        <f>INDEX(8!$B$17:$O$85,$E$20+12*($A$20-1),D$51+$C$22*8)</f>
        <v>0.77</v>
      </c>
      <c r="E32" s="68">
        <f>INDEX(8!$B$17:$O$85,$E$20+12*($A$20-1),E$51+$C$22*8)</f>
        <v>0.75</v>
      </c>
      <c r="F32" s="68">
        <f>INDEX(8!$B$17:$O$85,$E$20+12*($A$20-1),F$51+$C$22*8)</f>
        <v>0.76</v>
      </c>
      <c r="G32" s="68">
        <f>INDEX(8!$B$17:$O$85,$E$20+12*($A$20-1),G$51+$C$22*8)</f>
        <v>0.76</v>
      </c>
      <c r="H32" s="36"/>
      <c r="I32" s="42">
        <f>INDEX(8!$B$17:$O$85,$E$20,$J$20+$C$22*8)</f>
        <v>0.78</v>
      </c>
      <c r="J32" s="42">
        <f>INDEX(8!$B$17:$O$85,$E$20+12,$J$20+$C$22*8)</f>
        <v>0.85</v>
      </c>
      <c r="K32" s="42">
        <f>INDEX(8!$B$17:$O$85,$E$20+24,$J$20+$C$22*8)</f>
        <v>0.85</v>
      </c>
      <c r="L32" s="42">
        <f>INDEX(8!$B$17:$O$85,$E$20+36,$J$20+$C$22*8)</f>
        <v>0.75</v>
      </c>
      <c r="M32" s="42">
        <f>INDEX(8!$B$17:$O$85,$E$20+48,$J$20+$C$22*8)</f>
        <v>0.74</v>
      </c>
      <c r="N32" s="42">
        <f>INDEX(8!$B$17:$O$85,$E$20+60,$J$20+$C$22*8)</f>
        <v>0.64</v>
      </c>
      <c r="O32" s="43">
        <f t="shared" si="0"/>
        <v>8</v>
      </c>
    </row>
    <row r="33" spans="1:15" ht="15">
      <c r="A33" s="41">
        <v>9</v>
      </c>
      <c r="B33" s="68">
        <f>INDEX(9!$B$17:$O$85,$E$20+12*($A$20-1),B$51+$C$22*8)</f>
        <v>0.72</v>
      </c>
      <c r="C33" s="68">
        <f>INDEX(9!$B$17:$O$85,$E$20+12*($A$20-1),C$51+$C$22*8)</f>
        <v>0.68</v>
      </c>
      <c r="D33" s="68">
        <f>INDEX(9!$B$17:$O$85,$E$20+12*($A$20-1),D$51+$C$22*8)</f>
        <v>0.73</v>
      </c>
      <c r="E33" s="68">
        <f>INDEX(9!$B$17:$O$85,$E$20+12*($A$20-1),E$51+$C$22*8)</f>
        <v>0.78</v>
      </c>
      <c r="F33" s="68">
        <f>INDEX(9!$B$17:$O$85,$E$20+12*($A$20-1),F$51+$C$22*8)</f>
        <v>0.82</v>
      </c>
      <c r="G33" s="68">
        <f>INDEX(9!$B$17:$O$85,$E$20+12*($A$20-1),G$51+$C$22*8)</f>
        <v>0.75</v>
      </c>
      <c r="H33" s="36"/>
      <c r="I33" s="42">
        <f>INDEX(9!$B$17:$O$85,$E$20,$J$20+$C$22*8)</f>
        <v>0.73</v>
      </c>
      <c r="J33" s="42">
        <f>INDEX(9!$B$17:$O$85,$E$20+12,$J$20+$C$22*8)</f>
        <v>0.77</v>
      </c>
      <c r="K33" s="42">
        <f>INDEX(9!$B$17:$O$85,$E$20+24,$J$20+$C$22*8)</f>
        <v>0.85</v>
      </c>
      <c r="L33" s="42">
        <f>INDEX(9!$B$17:$O$85,$E$20+36,$J$20+$C$22*8)</f>
        <v>0.72</v>
      </c>
      <c r="M33" s="42">
        <f>INDEX(9!$B$17:$O$85,$E$20+48,$J$20+$C$22*8)</f>
        <v>0.78</v>
      </c>
      <c r="N33" s="42">
        <f>INDEX(9!$B$17:$O$85,$E$20+60,$J$20+$C$22*8)</f>
        <v>0.62</v>
      </c>
      <c r="O33" s="43">
        <f t="shared" si="0"/>
        <v>9</v>
      </c>
    </row>
    <row r="34" spans="1:15" ht="15">
      <c r="A34" s="41">
        <v>10</v>
      </c>
      <c r="B34" s="68">
        <f>INDEX('10'!$B$17:$O$85,$E$20+12*($A$20-1),B$51+$C$22*8)</f>
        <v>0</v>
      </c>
      <c r="C34" s="68">
        <f>INDEX('10'!$B$17:$O$85,$E$20+12*($A$20-1),C$51+$C$22*8)</f>
        <v>0</v>
      </c>
      <c r="D34" s="68">
        <f>INDEX('10'!$B$17:$O$85,$E$20+12*($A$20-1),D$51+$C$22*8)</f>
        <v>0</v>
      </c>
      <c r="E34" s="68">
        <f>INDEX('10'!$B$17:$O$85,$E$20+12*($A$20-1),E$51+$C$22*8)</f>
        <v>0</v>
      </c>
      <c r="F34" s="68">
        <f>INDEX('10'!$B$17:$O$85,$E$20+12*($A$20-1),F$51+$C$22*8)</f>
        <v>0</v>
      </c>
      <c r="G34" s="68">
        <f>INDEX('10'!$B$17:$O$85,$E$20+12*($A$20-1),G$51+$C$22*8)</f>
        <v>0</v>
      </c>
      <c r="H34" s="36"/>
      <c r="I34" s="42">
        <f>INDEX('10'!$B$17:$O$85,$E$20,$J$20+$C$22*8)</f>
        <v>0</v>
      </c>
      <c r="J34" s="42">
        <f>INDEX('10'!$B$17:$O$85,$E$20+12,$J$20+$C$22*8)</f>
        <v>0</v>
      </c>
      <c r="K34" s="42">
        <f>INDEX('10'!$B$17:$O$85,$E$20+24,$J$20+$C$22*8)</f>
        <v>0</v>
      </c>
      <c r="L34" s="42">
        <f>INDEX('10'!$B$17:$O$85,$E$20+36,$J$20+$C$22*8)</f>
        <v>0</v>
      </c>
      <c r="M34" s="42">
        <f>INDEX('10'!$B$17:$O$85,$E$20+48,$J$20+$C$22*8)</f>
        <v>0</v>
      </c>
      <c r="N34" s="42">
        <f>INDEX('10'!$B$17:$O$85,$E$20+60,$J$20+$C$22*8)</f>
        <v>0</v>
      </c>
      <c r="O34" s="43">
        <f t="shared" si="0"/>
        <v>10</v>
      </c>
    </row>
    <row r="35" spans="1:15" ht="15">
      <c r="A35" s="41">
        <v>11</v>
      </c>
      <c r="B35" s="68">
        <f>INDEX('11'!$B$17:$O$85,$E$20+12*($A$20-1),B$51+$C$22*8)</f>
        <v>0.74</v>
      </c>
      <c r="C35" s="68">
        <f>INDEX('11'!$B$17:$O$85,$E$20+12*($A$20-1),C$51+$C$22*8)</f>
        <v>0.75</v>
      </c>
      <c r="D35" s="68">
        <f>INDEX('11'!$B$17:$O$85,$E$20+12*($A$20-1),D$51+$C$22*8)</f>
        <v>0.76</v>
      </c>
      <c r="E35" s="68">
        <f>INDEX('11'!$B$17:$O$85,$E$20+12*($A$20-1),E$51+$C$22*8)</f>
        <v>0.74</v>
      </c>
      <c r="F35" s="68">
        <f>INDEX('11'!$B$17:$O$85,$E$20+12*($A$20-1),F$51+$C$22*8)</f>
        <v>0.74</v>
      </c>
      <c r="G35" s="68">
        <f>INDEX('11'!$B$17:$O$85,$E$20+12*($A$20-1),G$51+$C$22*8)</f>
        <v>0.75</v>
      </c>
      <c r="H35" s="36"/>
      <c r="I35" s="42">
        <f>INDEX('11'!$B$17:$O$85,$E$20,$J$20+$C$22*8)</f>
        <v>0.77</v>
      </c>
      <c r="J35" s="42">
        <f>INDEX('11'!$B$17:$O$85,$E$20+12,$J$20+$C$22*8)</f>
        <v>0.85</v>
      </c>
      <c r="K35" s="42">
        <f>INDEX('11'!$B$17:$O$85,$E$20+24,$J$20+$C$22*8)</f>
        <v>0.84</v>
      </c>
      <c r="L35" s="42">
        <f>INDEX('11'!$B$17:$O$85,$E$20+36,$J$20+$C$22*8)</f>
        <v>0.74</v>
      </c>
      <c r="M35" s="42">
        <f>INDEX('11'!$B$17:$O$85,$E$20+48,$J$20+$C$22*8)</f>
        <v>0.73</v>
      </c>
      <c r="N35" s="42">
        <f>INDEX('11'!$B$17:$O$85,$E$20+60,$J$20+$C$22*8)</f>
        <v>0.64</v>
      </c>
      <c r="O35" s="43">
        <f t="shared" si="0"/>
        <v>11</v>
      </c>
    </row>
    <row r="36" spans="1:15" ht="15">
      <c r="A36" s="41">
        <v>12</v>
      </c>
      <c r="B36" s="81">
        <f>INDEX('12'!$B$17:$O$85,$E$20+12*($A$20-1),B$51+$C$22*8)</f>
        <v>0.75</v>
      </c>
      <c r="C36" s="81">
        <f>INDEX('12'!$B$17:$O$85,$E$20+12*($A$20-1),C$51+$C$22*8)</f>
        <v>0.72</v>
      </c>
      <c r="D36" s="81">
        <f>INDEX('12'!$B$17:$O$85,$E$20+12*($A$20-1),D$51+$C$22*8)</f>
        <v>0.74</v>
      </c>
      <c r="E36" s="81">
        <f>INDEX('12'!$B$17:$O$85,$E$20+12*($A$20-1),E$51+$C$22*8)</f>
        <v>0.77</v>
      </c>
      <c r="F36" s="81">
        <f>INDEX('12'!$B$17:$O$85,$E$20+12*($A$20-1),F$51+$C$22*8)</f>
        <v>0.69</v>
      </c>
      <c r="G36" s="81">
        <f>INDEX('12'!$B$17:$O$85,$E$20+12*($A$20-1),G$51+$C$22*8)</f>
        <v>0.77</v>
      </c>
      <c r="H36" s="36"/>
      <c r="I36" s="42">
        <f>INDEX('12'!$B$17:$O$85,$E$20,$J$20+$C$22*8)</f>
        <v>0.55</v>
      </c>
      <c r="J36" s="42">
        <f>INDEX('12'!$B$17:$O$85,$E$20+12,$J$20+$C$22*8)</f>
        <v>0.8</v>
      </c>
      <c r="K36" s="42">
        <f>INDEX('12'!$B$17:$O$85,$E$20+24,$J$20+$C$22*8)</f>
        <v>0.83</v>
      </c>
      <c r="L36" s="42">
        <f>INDEX('12'!$B$17:$O$85,$E$20+36,$J$20+$C$22*8)</f>
        <v>0.75</v>
      </c>
      <c r="M36" s="42">
        <f>INDEX('12'!$B$17:$O$85,$E$20+48,$J$20+$C$22*8)</f>
        <v>0.82</v>
      </c>
      <c r="N36" s="42">
        <f>INDEX('12'!$B$17:$O$85,$E$20+60,$J$20+$C$22*8)</f>
        <v>0.57</v>
      </c>
      <c r="O36" s="43">
        <f t="shared" si="0"/>
        <v>12</v>
      </c>
    </row>
    <row r="37" spans="1:15" ht="15">
      <c r="A37" s="41">
        <v>13</v>
      </c>
      <c r="B37" s="68">
        <f>INDEX('13'!$B$17:$O$85,$E$20+12*($A$20-1),B$51+$C$22*8)</f>
        <v>0.592</v>
      </c>
      <c r="C37" s="68">
        <f>INDEX('13'!$B$17:$O$85,$E$20+12*($A$20-1),C$51+$C$22*8)</f>
        <v>0.633</v>
      </c>
      <c r="D37" s="68">
        <f>INDEX('13'!$B$17:$O$85,$E$20+12*($A$20-1),D$51+$C$22*8)</f>
        <v>0.6</v>
      </c>
      <c r="E37" s="68">
        <f>INDEX('13'!$B$17:$O$85,$E$20+12*($A$20-1),E$51+$C$22*8)</f>
        <v>0.561</v>
      </c>
      <c r="F37" s="68">
        <f>INDEX('13'!$B$17:$O$85,$E$20+12*($A$20-1),F$51+$C$22*8)</f>
        <v>0.602</v>
      </c>
      <c r="G37" s="68">
        <f>INDEX('13'!$B$17:$O$85,$E$20+12*($A$20-1),G$51+$C$22*8)</f>
        <v>0.566</v>
      </c>
      <c r="H37" s="36"/>
      <c r="I37" s="42">
        <f>INDEX('13'!$B$17:$O$85,$E$20,$J$20+$C$22*8)</f>
        <v>0.766</v>
      </c>
      <c r="J37" s="42">
        <f>INDEX('13'!$B$17:$O$85,$E$20+12,$J$20+$C$22*8)</f>
        <v>0.666</v>
      </c>
      <c r="K37" s="42">
        <f>INDEX('13'!$B$17:$O$85,$E$20+24,$J$20+$C$22*8)</f>
        <v>0.642</v>
      </c>
      <c r="L37" s="42">
        <f>INDEX('13'!$B$17:$O$85,$E$20+36,$J$20+$C$22*8)</f>
        <v>0.592</v>
      </c>
      <c r="M37" s="42">
        <f>INDEX('13'!$B$17:$O$85,$E$20+48,$J$20+$C$22*8)</f>
        <v>0.504</v>
      </c>
      <c r="N37" s="42">
        <f>INDEX('13'!$B$17:$O$85,$E$20+60,$J$20+$C$22*8)</f>
        <v>0.458</v>
      </c>
      <c r="O37" s="43">
        <f t="shared" si="0"/>
        <v>13</v>
      </c>
    </row>
    <row r="38" spans="1:15" ht="15">
      <c r="A38" s="41">
        <v>14</v>
      </c>
      <c r="B38" s="68">
        <f>INDEX('14'!$B$17:$O$85,$E$20+12*($A$20-1),B$51+$C$22*8)</f>
        <v>0.8</v>
      </c>
      <c r="C38" s="68">
        <f>INDEX('14'!$B$17:$O$85,$E$20+12*($A$20-1),C$51+$C$22*8)</f>
        <v>0.8</v>
      </c>
      <c r="D38" s="68">
        <f>INDEX('14'!$B$17:$O$85,$E$20+12*($A$20-1),D$51+$C$22*8)</f>
        <v>0.8</v>
      </c>
      <c r="E38" s="68">
        <f>INDEX('14'!$B$17:$O$85,$E$20+12*($A$20-1),E$51+$C$22*8)</f>
        <v>0.8</v>
      </c>
      <c r="F38" s="68">
        <f>INDEX('14'!$B$17:$O$85,$E$20+12*($A$20-1),F$51+$C$22*8)</f>
        <v>0.79</v>
      </c>
      <c r="G38" s="68">
        <f>INDEX('14'!$B$17:$O$85,$E$20+12*($A$20-1),G$51+$C$22*8)</f>
        <v>0.79</v>
      </c>
      <c r="H38" s="36"/>
      <c r="I38" s="42">
        <f>INDEX('14'!$B$17:$O$85,$E$20,$J$20+$C$22*8)</f>
        <v>0.94</v>
      </c>
      <c r="J38" s="42">
        <f>INDEX('14'!$B$17:$O$85,$E$20+12,$J$20+$C$22*8)</f>
        <v>0.97</v>
      </c>
      <c r="K38" s="42">
        <f>INDEX('14'!$B$17:$O$85,$E$20+24,$J$20+$C$22*8)</f>
        <v>0.93</v>
      </c>
      <c r="L38" s="42">
        <f>INDEX('14'!$B$17:$O$85,$E$20+36,$J$20+$C$22*8)</f>
        <v>0.8</v>
      </c>
      <c r="M38" s="42">
        <f>INDEX('14'!$B$17:$O$85,$E$20+48,$J$20+$C$22*8)</f>
        <v>0.79</v>
      </c>
      <c r="N38" s="42">
        <f>INDEX('14'!$B$17:$O$85,$E$20+60,$J$20+$C$22*8)</f>
        <v>0.66</v>
      </c>
      <c r="O38" s="43">
        <f t="shared" si="0"/>
        <v>14</v>
      </c>
    </row>
    <row r="39" spans="1:114" ht="15">
      <c r="A39" s="41">
        <v>15</v>
      </c>
      <c r="B39" s="68">
        <f>INDEX('15'!$B$17:$O$85,$E$20+12*($A$20-1),B$51+$C$22*8)</f>
        <v>0.8</v>
      </c>
      <c r="C39" s="68">
        <f>INDEX('15'!$B$17:$O$85,$E$20+12*($A$20-1),C$51+$C$22*8)</f>
        <v>0.8</v>
      </c>
      <c r="D39" s="68">
        <f>INDEX('15'!$B$17:$O$85,$E$20+12*($A$20-1),D$51+$C$22*8)</f>
        <v>0.79</v>
      </c>
      <c r="E39" s="68">
        <f>INDEX('15'!$B$17:$O$85,$E$20+12*($A$20-1),E$51+$C$22*8)</f>
        <v>0.79</v>
      </c>
      <c r="F39" s="68">
        <f>INDEX('15'!$B$17:$O$85,$E$20+12*($A$20-1),F$51+$C$22*8)</f>
        <v>0.78</v>
      </c>
      <c r="G39" s="68">
        <f>INDEX('15'!$B$17:$O$85,$E$20+12*($A$20-1),G$51+$C$22*8)</f>
        <v>0.78</v>
      </c>
      <c r="H39" s="36"/>
      <c r="I39" s="42">
        <f>INDEX('15'!$B$17:$O$85,$E$20,$J$20+$C$22*8)</f>
        <v>0.88</v>
      </c>
      <c r="J39" s="42">
        <f>INDEX('15'!$B$17:$O$85,$E$20+12,$J$20+$C$22*8)</f>
        <v>0.94</v>
      </c>
      <c r="K39" s="42">
        <f>INDEX('15'!$B$17:$O$85,$E$20+24,$J$20+$C$22*8)</f>
        <v>0.9</v>
      </c>
      <c r="L39" s="42">
        <f>INDEX('15'!$B$17:$O$85,$E$20+36,$J$20+$C$22*8)</f>
        <v>0.8</v>
      </c>
      <c r="M39" s="42">
        <f>INDEX('15'!$B$17:$O$85,$E$20+48,$J$20+$C$22*8)</f>
        <v>0.77</v>
      </c>
      <c r="N39" s="42">
        <f>INDEX('15'!$B$17:$O$85,$E$20+60,$J$20+$C$22*8)</f>
        <v>0.67</v>
      </c>
      <c r="O39" s="43">
        <f t="shared" si="0"/>
        <v>15</v>
      </c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</row>
    <row r="40" spans="1:114" ht="15">
      <c r="A40" s="41">
        <v>16</v>
      </c>
      <c r="B40" s="68">
        <f>INDEX('16'!$B$17:$O$85,$E$20+12*($A$20-1),B$51+$C$22*8)</f>
        <v>0.798152</v>
      </c>
      <c r="C40" s="68">
        <f>INDEX('16'!$B$17:$O$85,$E$20+12*($A$20-1),C$51+$C$22*8)</f>
        <v>0.79659</v>
      </c>
      <c r="D40" s="68">
        <f>INDEX('16'!$B$17:$O$85,$E$20+12*($A$20-1),D$51+$C$22*8)</f>
        <v>0.797862</v>
      </c>
      <c r="E40" s="68">
        <f>INDEX('16'!$B$17:$O$85,$E$20+12*($A$20-1),E$51+$C$22*8)</f>
        <v>0.796296</v>
      </c>
      <c r="F40" s="68">
        <f>INDEX('16'!$B$17:$O$85,$E$20+12*($A$20-1),F$51+$C$22*8)</f>
        <v>0.797158</v>
      </c>
      <c r="G40" s="68">
        <f>INDEX('16'!$B$17:$O$85,$E$20+12*($A$20-1),G$51+$C$22*8)</f>
        <v>0.79816</v>
      </c>
      <c r="H40" s="36"/>
      <c r="I40" s="42">
        <f>INDEX('16'!$B$17:$O$85,$E$20,$J$20+$C$22*8)</f>
        <v>0.838254</v>
      </c>
      <c r="J40" s="42">
        <f>INDEX('16'!$B$17:$O$85,$E$20+12,$J$20+$C$22*8)</f>
        <v>0.90396</v>
      </c>
      <c r="K40" s="42">
        <f>INDEX('16'!$B$17:$O$85,$E$20+24,$J$20+$C$22*8)</f>
        <v>0.901374</v>
      </c>
      <c r="L40" s="42">
        <f>INDEX('16'!$B$17:$O$85,$E$20+36,$J$20+$C$22*8)</f>
        <v>0.798152</v>
      </c>
      <c r="M40" s="42">
        <f>INDEX('16'!$B$17:$O$85,$E$20+48,$J$20+$C$22*8)</f>
        <v>0.793842</v>
      </c>
      <c r="N40" s="42">
        <f>INDEX('16'!$B$17:$O$85,$E$20+60,$J$20+$C$22*8)</f>
        <v>0.67845</v>
      </c>
      <c r="O40" s="43">
        <f t="shared" si="0"/>
        <v>16</v>
      </c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</row>
    <row r="41" spans="1:15" ht="15">
      <c r="A41" s="41">
        <v>17</v>
      </c>
      <c r="B41" s="68">
        <f>INDEX('17'!$B$17:$O$85,$E$20+12*($A$20-1),B$51+$C$22*8)</f>
        <v>0.7</v>
      </c>
      <c r="C41" s="68">
        <f>INDEX('17'!$B$17:$O$85,$E$20+12*($A$20-1),C$51+$C$22*8)</f>
        <v>0.76</v>
      </c>
      <c r="D41" s="68">
        <f>INDEX('17'!$B$17:$O$85,$E$20+12*($A$20-1),D$51+$C$22*8)</f>
        <v>0.73</v>
      </c>
      <c r="E41" s="68">
        <f>INDEX('17'!$B$17:$O$85,$E$20+12*($A$20-1),E$51+$C$22*8)</f>
        <v>0.77</v>
      </c>
      <c r="F41" s="68">
        <f>INDEX('17'!$B$17:$O$85,$E$20+12*($A$20-1),F$51+$C$22*8)</f>
        <v>0.77</v>
      </c>
      <c r="G41" s="68">
        <f>INDEX('17'!$B$17:$O$85,$E$20+12*($A$20-1),G$51+$C$22*8)</f>
        <v>0.77</v>
      </c>
      <c r="H41" s="36"/>
      <c r="I41" s="42">
        <f>INDEX('17'!$B$17:$O$85,$E$20,$J$20+$C$22*8)</f>
        <v>0.69</v>
      </c>
      <c r="J41" s="42">
        <f>INDEX('17'!$B$17:$O$85,$E$20+12,$J$20+$C$22*8)</f>
        <v>0.73</v>
      </c>
      <c r="K41" s="42">
        <f>INDEX('17'!$B$17:$O$85,$E$20+24,$J$20+$C$22*8)</f>
        <v>0.82</v>
      </c>
      <c r="L41" s="42">
        <f>INDEX('17'!$B$17:$O$85,$E$20+36,$J$20+$C$22*8)</f>
        <v>0.7</v>
      </c>
      <c r="M41" s="42">
        <f>INDEX('17'!$B$17:$O$85,$E$20+48,$J$20+$C$22*8)</f>
        <v>0.75</v>
      </c>
      <c r="N41" s="42">
        <f>INDEX('17'!$B$17:$O$85,$E$20+60,$J$20+$C$22*8)</f>
        <v>0.67</v>
      </c>
      <c r="O41" s="43">
        <f t="shared" si="0"/>
        <v>17</v>
      </c>
    </row>
    <row r="42" spans="1:15" ht="15">
      <c r="A42" s="41">
        <v>18</v>
      </c>
      <c r="B42" s="68">
        <f>INDEX('18'!$B$17:$O$85,$E$20+12*($A$20-1),B$51+$C$22*8)</f>
        <v>0</v>
      </c>
      <c r="C42" s="68">
        <f>INDEX('18'!$B$17:$O$85,$E$20+12*($A$20-1),C$51+$C$22*8)</f>
        <v>0</v>
      </c>
      <c r="D42" s="68">
        <f>INDEX('18'!$B$17:$O$85,$E$20+12*($A$20-1),D$51+$C$22*8)</f>
        <v>0</v>
      </c>
      <c r="E42" s="68">
        <f>INDEX('18'!$B$17:$O$85,$E$20+12*($A$20-1),E$51+$C$22*8)</f>
        <v>0</v>
      </c>
      <c r="F42" s="68">
        <f>INDEX('18'!$B$17:$O$85,$E$20+12*($A$20-1),F$51+$C$22*8)</f>
        <v>0</v>
      </c>
      <c r="G42" s="68">
        <f>INDEX('18'!$B$17:$O$85,$E$20+12*($A$20-1),G$51+$C$22*8)</f>
        <v>0</v>
      </c>
      <c r="H42" s="36"/>
      <c r="I42" s="42">
        <f>INDEX('18'!$B$17:$O$85,$E$20,$J$20+$C$22*8)</f>
        <v>0</v>
      </c>
      <c r="J42" s="42">
        <f>INDEX('18'!$B$17:$O$85,$E$20+12,$J$20+$C$22*8)</f>
        <v>0</v>
      </c>
      <c r="K42" s="42">
        <f>INDEX('18'!$B$17:$O$85,$E$20+24,$J$20+$C$22*8)</f>
        <v>0</v>
      </c>
      <c r="L42" s="42">
        <f>INDEX('18'!$B$17:$O$85,$E$20+36,$J$20+$C$22*8)</f>
        <v>0</v>
      </c>
      <c r="M42" s="42">
        <f>INDEX('18'!$B$17:$O$85,$E$20+48,$J$20+$C$22*8)</f>
        <v>0</v>
      </c>
      <c r="N42" s="42">
        <f>INDEX('18'!$B$17:$O$85,$E$20+60,$J$20+$C$22*8)</f>
        <v>0</v>
      </c>
      <c r="O42" s="43">
        <f t="shared" si="0"/>
        <v>18</v>
      </c>
    </row>
    <row r="43" spans="1:15" ht="15">
      <c r="A43" s="41">
        <v>19</v>
      </c>
      <c r="B43" s="68">
        <f>INDEX('19'!$B$17:$O$85,$E$20+12*($A$20-1),B$51+$C$22*8)</f>
        <v>0</v>
      </c>
      <c r="C43" s="68">
        <f>INDEX('19'!$B$17:$O$85,$E$20+12*($A$20-1),C$51+$C$22*8)</f>
        <v>0</v>
      </c>
      <c r="D43" s="68">
        <f>INDEX('19'!$B$17:$O$85,$E$20+12*($A$20-1),D$51+$C$22*8)</f>
        <v>0</v>
      </c>
      <c r="E43" s="68">
        <f>INDEX('19'!$B$17:$O$85,$E$20+12*($A$20-1),E$51+$C$22*8)</f>
        <v>0</v>
      </c>
      <c r="F43" s="68">
        <f>INDEX('19'!$B$17:$O$85,$E$20+12*($A$20-1),F$51+$C$22*8)</f>
        <v>0</v>
      </c>
      <c r="G43" s="68">
        <f>INDEX('19'!$B$17:$O$85,$E$20+12*($A$20-1),G$51+$C$22*8)</f>
        <v>0</v>
      </c>
      <c r="H43" s="36"/>
      <c r="I43" s="42">
        <f>INDEX('19'!$B$17:$O$85,$E$20,$J$20+$C$22*8)</f>
        <v>0</v>
      </c>
      <c r="J43" s="42">
        <f>INDEX('19'!$B$17:$O$85,$E$20+12,$J$20+$C$22*8)</f>
        <v>0</v>
      </c>
      <c r="K43" s="42">
        <f>INDEX('19'!$B$17:$O$85,$E$20+24,$J$20+$C$22*8)</f>
        <v>0</v>
      </c>
      <c r="L43" s="42">
        <f>INDEX('19'!$B$17:$O$85,$E$20+36,$J$20+$C$22*8)</f>
        <v>0</v>
      </c>
      <c r="M43" s="42">
        <f>INDEX('19'!$B$17:$O$85,$E$20+48,$J$20+$C$22*8)</f>
        <v>0</v>
      </c>
      <c r="N43" s="42">
        <f>INDEX('19'!$B$17:$O$85,$E$20+60,$J$20+$C$22*8)</f>
        <v>0</v>
      </c>
      <c r="O43" s="43">
        <f t="shared" si="0"/>
        <v>19</v>
      </c>
    </row>
    <row r="44" spans="1:15" ht="15">
      <c r="A44" s="41">
        <v>20</v>
      </c>
      <c r="B44" s="68">
        <f>INDEX('20'!$B$17:$O$85,$E$20+12*($A$20-1),B$51+$C$22*8)</f>
        <v>0.79</v>
      </c>
      <c r="C44" s="68">
        <f>INDEX('20'!$B$17:$O$85,$E$20+12*($A$20-1),C$51+$C$22*8)</f>
        <v>0.74</v>
      </c>
      <c r="D44" s="68">
        <f>INDEX('20'!$B$17:$O$85,$E$20+12*($A$20-1),D$51+$C$22*8)</f>
        <v>0.73</v>
      </c>
      <c r="E44" s="68">
        <f>INDEX('20'!$B$17:$O$85,$E$20+12*($A$20-1),E$51+$C$22*8)</f>
        <v>0.73</v>
      </c>
      <c r="F44" s="68">
        <f>INDEX('20'!$B$17:$O$85,$E$20+12*($A$20-1),F$51+$C$22*8)</f>
        <v>0.77</v>
      </c>
      <c r="G44" s="68">
        <f>INDEX('20'!$B$17:$O$85,$E$20+12*($A$20-1),G$51+$C$22*8)</f>
        <v>0.72</v>
      </c>
      <c r="H44" s="36"/>
      <c r="I44" s="42">
        <f>INDEX('20'!$B$17:$O$85,$E$20,$J$20+$C$22*8)</f>
        <v>0.59</v>
      </c>
      <c r="J44" s="42">
        <f>INDEX('20'!$B$17:$O$85,$E$20+12,$J$20+$C$22*8)</f>
        <v>0.79</v>
      </c>
      <c r="K44" s="42">
        <f>INDEX('20'!$B$17:$O$85,$E$20+24,$J$20+$C$22*8)</f>
        <v>0.83</v>
      </c>
      <c r="L44" s="42">
        <f>INDEX('20'!$B$17:$O$85,$E$20+36,$J$20+$C$22*8)</f>
        <v>0.79</v>
      </c>
      <c r="M44" s="42">
        <f>INDEX('20'!$B$17:$O$85,$E$20+48,$J$20+$C$22*8)</f>
        <v>0.75</v>
      </c>
      <c r="N44" s="42">
        <f>INDEX('20'!$B$17:$O$85,$E$20+60,$J$20+$C$22*8)</f>
        <v>0.6</v>
      </c>
      <c r="O44" s="43">
        <f t="shared" si="0"/>
        <v>20</v>
      </c>
    </row>
    <row r="45" spans="1:15" ht="15">
      <c r="A45" s="41">
        <v>21</v>
      </c>
      <c r="B45" s="68">
        <f>INDEX('21'!$B$17:$O$85,$E$20+12*($A$20-1),B$51+$C$22*8)</f>
        <v>0.7766666666666667</v>
      </c>
      <c r="C45" s="68">
        <f>INDEX('21'!$B$17:$O$85,$E$20+12*($A$20-1),C$51+$C$22*8)</f>
        <v>0.78</v>
      </c>
      <c r="D45" s="68">
        <f>INDEX('21'!$B$17:$O$85,$E$20+12*($A$20-1),D$51+$C$22*8)</f>
        <v>0.78</v>
      </c>
      <c r="E45" s="68">
        <f>INDEX('21'!$B$17:$O$85,$E$20+12*($A$20-1),E$51+$C$22*8)</f>
        <v>0.7766666666666667</v>
      </c>
      <c r="F45" s="68">
        <f>INDEX('21'!$B$17:$O$85,$E$20+12*($A$20-1),F$51+$C$22*8)</f>
        <v>0.78</v>
      </c>
      <c r="G45" s="68">
        <f>INDEX('21'!$B$17:$O$85,$E$20+12*($A$20-1),G$51+$C$22*8)</f>
        <v>0.78</v>
      </c>
      <c r="H45" s="36"/>
      <c r="I45" s="42">
        <f>INDEX('21'!$B$17:$O$85,$E$20,$J$20+$C$22*8)</f>
        <v>0.8333333333333334</v>
      </c>
      <c r="J45" s="42">
        <f>INDEX('21'!$B$17:$O$85,$E$20+12,$J$20+$C$22*8)</f>
        <v>0.8733333333333334</v>
      </c>
      <c r="K45" s="42">
        <f>INDEX('21'!$B$17:$O$85,$E$20+24,$J$20+$C$22*8)</f>
        <v>0.8666666666666667</v>
      </c>
      <c r="L45" s="42">
        <f>INDEX('21'!$B$17:$O$85,$E$20+36,$J$20+$C$22*8)</f>
        <v>0.7766666666666667</v>
      </c>
      <c r="M45" s="42">
        <f>INDEX('21'!$B$17:$O$85,$E$20+48,$J$20+$C$22*8)</f>
        <v>0.75</v>
      </c>
      <c r="N45" s="42">
        <f>INDEX('21'!$B$17:$O$85,$E$20+60,$J$20+$C$22*8)</f>
        <v>0.65</v>
      </c>
      <c r="O45" s="43">
        <f t="shared" si="0"/>
        <v>21</v>
      </c>
    </row>
    <row r="46" spans="1:15" ht="15">
      <c r="A46" s="70" t="s">
        <v>33</v>
      </c>
      <c r="B46" s="80">
        <f aca="true" t="shared" si="1" ref="B46:G46">+AVERAGE(B25:B27,B29:B33,B35:B37,B39:B42,B44:B45)</f>
        <v>0.6951069803921568</v>
      </c>
      <c r="C46" s="80">
        <f t="shared" si="1"/>
        <v>0.6935052941176469</v>
      </c>
      <c r="D46" s="80">
        <f t="shared" si="1"/>
        <v>0.6975212941176471</v>
      </c>
      <c r="E46" s="80">
        <f t="shared" si="1"/>
        <v>0.6972919215686276</v>
      </c>
      <c r="F46" s="80">
        <f t="shared" si="1"/>
        <v>0.7011269411764705</v>
      </c>
      <c r="G46" s="80">
        <f t="shared" si="1"/>
        <v>0.7002447058823529</v>
      </c>
      <c r="H46" s="80"/>
      <c r="I46" s="80">
        <f aca="true" t="shared" si="2" ref="I46:N46">+AVERAGE(I25:I27,I29:I33,I35:I37,I39:I42,I44:I45)</f>
        <v>0.7016227843137256</v>
      </c>
      <c r="J46" s="80">
        <f t="shared" si="2"/>
        <v>0.7713701960784314</v>
      </c>
      <c r="K46" s="80">
        <f t="shared" si="2"/>
        <v>0.7882376862745097</v>
      </c>
      <c r="L46" s="80">
        <f t="shared" si="2"/>
        <v>0.6951069803921568</v>
      </c>
      <c r="M46" s="80">
        <f t="shared" si="2"/>
        <v>0.6881083529411764</v>
      </c>
      <c r="N46" s="80">
        <f t="shared" si="2"/>
        <v>0.5821441176470588</v>
      </c>
      <c r="O46" s="72" t="str">
        <f t="shared" si="0"/>
        <v>mean</v>
      </c>
    </row>
    <row r="47" spans="1:15" ht="15">
      <c r="A47" s="73" t="s">
        <v>37</v>
      </c>
      <c r="B47" s="74">
        <f aca="true" t="shared" si="3" ref="B47:G47">+STDEV(B25:B27,B29:B33,B35:B37,B39:B42,B44:B45)</f>
        <v>0.18545022664228045</v>
      </c>
      <c r="C47" s="74">
        <f t="shared" si="3"/>
        <v>0.1835928831040862</v>
      </c>
      <c r="D47" s="74">
        <f t="shared" si="3"/>
        <v>0.1852823054381354</v>
      </c>
      <c r="E47" s="74">
        <f t="shared" si="3"/>
        <v>0.18730773887581662</v>
      </c>
      <c r="F47" s="74">
        <f t="shared" si="3"/>
        <v>0.18715336074743363</v>
      </c>
      <c r="G47" s="74">
        <f t="shared" si="3"/>
        <v>0.18798111069059747</v>
      </c>
      <c r="H47" s="74"/>
      <c r="I47" s="74">
        <f aca="true" t="shared" si="4" ref="I47:N47">+STDEV(I25:I27,I29:I33,I35:I37,I39:I42,I44:I45)</f>
        <v>0.20311683491312119</v>
      </c>
      <c r="J47" s="74">
        <f t="shared" si="4"/>
        <v>0.20941990457926135</v>
      </c>
      <c r="K47" s="74">
        <f t="shared" si="4"/>
        <v>0.21160593504044253</v>
      </c>
      <c r="L47" s="74">
        <f t="shared" si="4"/>
        <v>0.18545022664228045</v>
      </c>
      <c r="M47" s="74">
        <f t="shared" si="4"/>
        <v>0.18927795853220108</v>
      </c>
      <c r="N47" s="74">
        <f t="shared" si="4"/>
        <v>0.15884313201468733</v>
      </c>
      <c r="O47" s="75" t="str">
        <f t="shared" si="0"/>
        <v>stddev.</v>
      </c>
    </row>
    <row r="48" spans="1:14" ht="15">
      <c r="A48" t="s">
        <v>38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15">
      <c r="A49" t="s">
        <v>50</v>
      </c>
      <c r="B49" s="78">
        <f>INDEX(measurement!$B$92:$P$160,$E$20+12*($A$20-1),B$51+$C$22*8)</f>
        <v>0.014142135623734097</v>
      </c>
      <c r="C49" s="78">
        <f>INDEX(measurement!$B$92:$P$160,$E$20+12*($A$20-1),C$51+$C$22*8)</f>
        <v>0.018165902124583338</v>
      </c>
      <c r="D49" s="78">
        <f>INDEX(measurement!$B$92:$P$160,$E$20+12*($A$20-1),D$51+$C$22*8)</f>
        <v>0.036178569469908925</v>
      </c>
      <c r="E49" s="78">
        <f>INDEX(measurement!$B$92:$P$160,$E$20+12*($A$20-1),E$51+$C$22*8)</f>
        <v>0.015456030825833703</v>
      </c>
      <c r="F49" s="78">
        <f>INDEX(measurement!$B$92:$P$160,$E$20+12*($A$20-1),F$51+$C$22*8)</f>
        <v>0.03114482300479173</v>
      </c>
      <c r="G49" s="78">
        <f>INDEX(measurement!$B$92:$P$160,$E$20+12*($A$20-1),G$51+$C$22*8)</f>
        <v>0.024152294576985665</v>
      </c>
      <c r="H49" s="79"/>
      <c r="I49" s="116">
        <f>INDEX(measurement!$B$92:$P$160,$E$20,$J$20+$C$22*8)</f>
        <v>0.0795612971236654</v>
      </c>
      <c r="J49" s="116">
        <f>INDEX(measurement!$B$92:$P$160,$E$20+12,$J$20+$C$22*8)</f>
        <v>0.04365266951236321</v>
      </c>
      <c r="K49" s="116">
        <f>INDEX(measurement!$B$92:$P$160,$E$20+24,$J$20+$C$22*8)</f>
        <v>0.03507135583350128</v>
      </c>
      <c r="L49" s="116">
        <f>INDEX(measurement!$B$92:$P$160,$E$20+36,$J$20+$C$22*8)</f>
        <v>0.014142135623734097</v>
      </c>
      <c r="M49" s="116">
        <f>INDEX(measurement!$B$92:$P$160,$E$20+48,$J$20+$C$22*8)</f>
        <v>0.018767584347017606</v>
      </c>
      <c r="N49" s="116">
        <f>INDEX(measurement!$B$92:$P$160,$E$20+60,$J$20+$C$22*8)</f>
        <v>0.013038404810409689</v>
      </c>
    </row>
    <row r="50" spans="1:15" ht="15">
      <c r="A50" s="41" t="s">
        <v>34</v>
      </c>
      <c r="B50" s="78">
        <f>INDEX(measurement!$B$17:$P$85,$E$20+12*($A$20-1),B$51+$C$22*8)</f>
        <v>0.8</v>
      </c>
      <c r="C50" s="78">
        <f>INDEX(measurement!$B$17:$P$85,$E$20+12*($A$20-1),C$51+$C$22*8)</f>
        <v>0.8160000000000001</v>
      </c>
      <c r="D50" s="78">
        <f>INDEX(measurement!$B$17:$P$85,$E$20+12*($A$20-1),D$51+$C$22*8)</f>
        <v>0.8186666666666665</v>
      </c>
      <c r="E50" s="78">
        <f>INDEX(measurement!$B$17:$P$85,$E$20+12*($A$20-1),E$51+$C$22*8)</f>
        <v>0.8133333333333332</v>
      </c>
      <c r="F50" s="78">
        <f>INDEX(measurement!$B$17:$P$85,$E$20+12*($A$20-1),F$51+$C$22*8)</f>
        <v>0.8220000000000001</v>
      </c>
      <c r="G50" s="78">
        <f>INDEX(measurement!$B$17:$P$85,$E$20+12*($A$20-1),G$51+$C$22*8)</f>
        <v>0.8133333333333332</v>
      </c>
      <c r="H50" s="79"/>
      <c r="I50" s="117">
        <f>INDEX(measurement!$B$17:$P$85,$E$20,$J$20+$C$22*8)</f>
        <v>0.9039999999999999</v>
      </c>
      <c r="J50" s="117">
        <f>INDEX(measurement!$B$17:$P$85,$E$20+12,$J$20+$C$22*8)</f>
        <v>0.9966666666666667</v>
      </c>
      <c r="K50" s="117">
        <f>INDEX(measurement!$B$17:$P$85,$E$20+24,$J$20+$C$22*8)</f>
        <v>0.7959999999999999</v>
      </c>
      <c r="L50" s="117">
        <f>INDEX(measurement!$B$17:$P$85,$E$20+36,$J$20+$C$22*8)</f>
        <v>0.8</v>
      </c>
      <c r="M50" s="117">
        <f>INDEX(measurement!$B$17:$P$85,$E$20+48,$J$20+$C$22*8)</f>
        <v>0.8206666666666665</v>
      </c>
      <c r="N50" s="117">
        <f>INDEX(measurement!$B$17:$P$85,$E$20+60,$J$20+$C$22*8)</f>
        <v>0.7386666666666667</v>
      </c>
      <c r="O50" s="43" t="str">
        <f>+A50</f>
        <v>measured</v>
      </c>
    </row>
    <row r="51" spans="2:7" ht="15">
      <c r="B51">
        <v>1</v>
      </c>
      <c r="C51">
        <v>2</v>
      </c>
      <c r="D51">
        <v>3</v>
      </c>
      <c r="E51">
        <v>4</v>
      </c>
      <c r="F51">
        <v>5</v>
      </c>
      <c r="G51">
        <v>6</v>
      </c>
    </row>
    <row r="52" spans="1:8" ht="15">
      <c r="A52" t="s">
        <v>45</v>
      </c>
      <c r="C52" t="s">
        <v>43</v>
      </c>
      <c r="D52" t="s">
        <v>44</v>
      </c>
      <c r="H52">
        <v>1</v>
      </c>
    </row>
    <row r="53" spans="1:8" ht="15">
      <c r="A53" t="s">
        <v>39</v>
      </c>
      <c r="B53" s="76" t="str">
        <f>+1!A17</f>
        <v>T30/s</v>
      </c>
      <c r="C53">
        <v>5</v>
      </c>
      <c r="D53" t="s">
        <v>41</v>
      </c>
      <c r="E53" s="77">
        <v>0.05</v>
      </c>
      <c r="F53" s="77" t="s">
        <v>35</v>
      </c>
      <c r="H53" s="36">
        <f aca="true" t="shared" si="5" ref="H53:H61">IF($H$52,$E53,1)</f>
        <v>0.05</v>
      </c>
    </row>
    <row r="54" spans="2:8" ht="15">
      <c r="B54" s="76" t="str">
        <f>+1!A18</f>
        <v>EDT/s</v>
      </c>
      <c r="C54">
        <v>5</v>
      </c>
      <c r="D54" t="s">
        <v>41</v>
      </c>
      <c r="E54" s="77">
        <v>0.05</v>
      </c>
      <c r="F54" s="77" t="s">
        <v>35</v>
      </c>
      <c r="H54" s="36">
        <f t="shared" si="5"/>
        <v>0.05</v>
      </c>
    </row>
    <row r="55" spans="2:8" ht="15">
      <c r="B55" s="76" t="str">
        <f>+1!A19</f>
        <v>D/%</v>
      </c>
      <c r="C55">
        <v>5</v>
      </c>
      <c r="D55" t="s">
        <v>41</v>
      </c>
      <c r="E55" s="77">
        <v>5</v>
      </c>
      <c r="F55" s="77" t="str">
        <f>+D55</f>
        <v>%</v>
      </c>
      <c r="H55" s="36">
        <f t="shared" si="5"/>
        <v>5</v>
      </c>
    </row>
    <row r="56" spans="2:8" ht="15">
      <c r="B56" s="76" t="str">
        <f>+1!A20</f>
        <v>C/dB</v>
      </c>
      <c r="C56">
        <v>1</v>
      </c>
      <c r="D56" t="s">
        <v>40</v>
      </c>
      <c r="E56" s="77">
        <v>1</v>
      </c>
      <c r="F56" s="77" t="str">
        <f aca="true" t="shared" si="6" ref="F56:F61">+D56</f>
        <v>dB</v>
      </c>
      <c r="H56" s="36">
        <f t="shared" si="5"/>
        <v>1</v>
      </c>
    </row>
    <row r="57" spans="2:8" ht="15">
      <c r="B57" s="76" t="str">
        <f>+1!A21</f>
        <v>TS/ms</v>
      </c>
      <c r="C57">
        <v>10</v>
      </c>
      <c r="D57" t="s">
        <v>42</v>
      </c>
      <c r="E57" s="77">
        <v>10</v>
      </c>
      <c r="F57" s="77" t="str">
        <f t="shared" si="6"/>
        <v>ms</v>
      </c>
      <c r="H57" s="36">
        <f t="shared" si="5"/>
        <v>10</v>
      </c>
    </row>
    <row r="58" spans="2:8" ht="15">
      <c r="B58" s="76" t="str">
        <f>+1!A22</f>
        <v>G/dB</v>
      </c>
      <c r="C58">
        <v>1</v>
      </c>
      <c r="D58" t="s">
        <v>40</v>
      </c>
      <c r="E58" s="77">
        <v>1</v>
      </c>
      <c r="F58" s="77" t="str">
        <f t="shared" si="6"/>
        <v>dB</v>
      </c>
      <c r="H58" s="36">
        <f t="shared" si="5"/>
        <v>1</v>
      </c>
    </row>
    <row r="59" spans="2:8" ht="15">
      <c r="B59" s="76" t="str">
        <f>+1!A23</f>
        <v>LF/%</v>
      </c>
      <c r="C59">
        <v>5</v>
      </c>
      <c r="D59" t="s">
        <v>41</v>
      </c>
      <c r="E59" s="77">
        <v>5</v>
      </c>
      <c r="F59" s="77" t="str">
        <f t="shared" si="6"/>
        <v>%</v>
      </c>
      <c r="H59" s="36">
        <f t="shared" si="5"/>
        <v>5</v>
      </c>
    </row>
    <row r="60" spans="2:10" ht="15">
      <c r="B60" s="76" t="str">
        <f>+1!A24</f>
        <v>LFC/%</v>
      </c>
      <c r="C60">
        <v>5</v>
      </c>
      <c r="D60" t="s">
        <v>41</v>
      </c>
      <c r="E60" s="77">
        <v>5</v>
      </c>
      <c r="F60" s="77" t="str">
        <f t="shared" si="6"/>
        <v>%</v>
      </c>
      <c r="H60" s="36">
        <f t="shared" si="5"/>
        <v>5</v>
      </c>
      <c r="J60" s="36"/>
    </row>
    <row r="61" spans="2:8" ht="15">
      <c r="B61" s="76" t="str">
        <f>+1!A25</f>
        <v>IACC</v>
      </c>
      <c r="C61">
        <v>0.08</v>
      </c>
      <c r="E61" s="77">
        <f>+C61</f>
        <v>0.08</v>
      </c>
      <c r="F61" s="77">
        <f t="shared" si="6"/>
        <v>0</v>
      </c>
      <c r="H61" s="36">
        <f t="shared" si="5"/>
        <v>0.08</v>
      </c>
    </row>
    <row r="63" ht="15">
      <c r="A63" s="70" t="s">
        <v>49</v>
      </c>
    </row>
    <row r="64" spans="1:16" ht="15.75">
      <c r="A64" s="122" t="str">
        <f>+A24</f>
        <v>Participant</v>
      </c>
      <c r="B64" s="122" t="str">
        <f aca="true" t="shared" si="7" ref="B64:N64">+B24</f>
        <v>S1R1</v>
      </c>
      <c r="C64" s="122" t="str">
        <f t="shared" si="7"/>
        <v>S1R2</v>
      </c>
      <c r="D64" s="122" t="str">
        <f t="shared" si="7"/>
        <v>S1R3</v>
      </c>
      <c r="E64" s="122" t="str">
        <f t="shared" si="7"/>
        <v>S2R1</v>
      </c>
      <c r="F64" s="122" t="str">
        <f t="shared" si="7"/>
        <v>S2R2</v>
      </c>
      <c r="G64" s="122" t="str">
        <f t="shared" si="7"/>
        <v>S2R3</v>
      </c>
      <c r="H64" s="122" t="s">
        <v>54</v>
      </c>
      <c r="I64" s="122">
        <f t="shared" si="7"/>
        <v>125</v>
      </c>
      <c r="J64" s="122">
        <f t="shared" si="7"/>
        <v>250</v>
      </c>
      <c r="K64" s="122">
        <f t="shared" si="7"/>
        <v>500</v>
      </c>
      <c r="L64" s="122">
        <f t="shared" si="7"/>
        <v>1000</v>
      </c>
      <c r="M64" s="122">
        <f t="shared" si="7"/>
        <v>2000</v>
      </c>
      <c r="N64" s="122">
        <f t="shared" si="7"/>
        <v>4000</v>
      </c>
      <c r="O64" s="122" t="s">
        <v>56</v>
      </c>
      <c r="P64" s="122"/>
    </row>
    <row r="65" spans="1:15" ht="15">
      <c r="A65">
        <f aca="true" t="shared" si="8" ref="A65:A84">+A25</f>
        <v>1</v>
      </c>
      <c r="B65" s="36">
        <f>IF(B25=0,0,ABS(B25-B$50))</f>
        <v>0.07000000000000006</v>
      </c>
      <c r="C65" s="354">
        <f>IF(C25=0,0,ABS(C25-C$50))</f>
        <v>0.06600000000000006</v>
      </c>
      <c r="D65" s="36">
        <f aca="true" t="shared" si="9" ref="C65:G67">IF(D25=0,0,ABS(D25-D$50))</f>
        <v>0.06866666666666654</v>
      </c>
      <c r="E65" s="36">
        <f t="shared" si="9"/>
        <v>0.07333333333333325</v>
      </c>
      <c r="F65" s="36">
        <f t="shared" si="9"/>
        <v>0.07200000000000006</v>
      </c>
      <c r="G65" s="36">
        <f t="shared" si="9"/>
        <v>0.06333333333333324</v>
      </c>
      <c r="H65" s="36">
        <f>AVERAGE(B65:G65)/INDEX($H$53:$H$61,$E$20)</f>
        <v>1.3777777777777773</v>
      </c>
      <c r="I65" s="36">
        <f>+IF(B65&gt;0,+ABS(I25-I$50),0)</f>
        <v>0.1339999999999999</v>
      </c>
      <c r="J65" s="36">
        <f aca="true" t="shared" si="10" ref="J65:N72">+IF(C65&gt;0,+ABS(J25-J$50),0)</f>
        <v>0.15666666666666673</v>
      </c>
      <c r="K65" s="36">
        <f t="shared" si="10"/>
        <v>0.03400000000000003</v>
      </c>
      <c r="L65" s="36">
        <f t="shared" si="10"/>
        <v>0.07000000000000006</v>
      </c>
      <c r="M65" s="36">
        <f t="shared" si="10"/>
        <v>0.09066666666666656</v>
      </c>
      <c r="N65" s="36">
        <f t="shared" si="10"/>
        <v>0.10866666666666669</v>
      </c>
      <c r="O65" s="36">
        <f>AVERAGE(I65:N65)/INDEX($H$53:$H$61,$E$20)</f>
        <v>1.9799999999999998</v>
      </c>
    </row>
    <row r="66" spans="1:15" ht="15">
      <c r="A66">
        <f t="shared" si="8"/>
        <v>2</v>
      </c>
      <c r="B66" s="36">
        <f aca="true" t="shared" si="11" ref="B66:B85">IF(B26=0,0,ABS(B26-B$50))</f>
        <v>0.040000000000000036</v>
      </c>
      <c r="C66" s="36">
        <f t="shared" si="9"/>
        <v>0.06600000000000006</v>
      </c>
      <c r="D66" s="36">
        <f t="shared" si="9"/>
        <v>0.06866666666666654</v>
      </c>
      <c r="E66" s="36">
        <f t="shared" si="9"/>
        <v>0.06333333333333324</v>
      </c>
      <c r="F66" s="36">
        <f t="shared" si="9"/>
        <v>0.062000000000000055</v>
      </c>
      <c r="G66" s="36">
        <f t="shared" si="9"/>
        <v>0.033333333333333215</v>
      </c>
      <c r="H66" s="36">
        <f>AVERAGE(B66:G66)/INDEX($H$53:$H$61,$E$20)</f>
        <v>1.1111111111111105</v>
      </c>
      <c r="I66" s="36">
        <f aca="true" t="shared" si="12" ref="I66:I85">+IF(B66&gt;0,+ABS(I26-I$50),0)</f>
        <v>0.09399999999999986</v>
      </c>
      <c r="J66" s="36">
        <f t="shared" si="10"/>
        <v>0.13666666666666671</v>
      </c>
      <c r="K66" s="36">
        <f t="shared" si="10"/>
        <v>0.05400000000000005</v>
      </c>
      <c r="L66" s="36">
        <f t="shared" si="10"/>
        <v>0.040000000000000036</v>
      </c>
      <c r="M66" s="36">
        <f t="shared" si="10"/>
        <v>0.09066666666666656</v>
      </c>
      <c r="N66" s="36">
        <f t="shared" si="10"/>
        <v>0.10866666666666669</v>
      </c>
      <c r="O66" s="36">
        <f aca="true" t="shared" si="13" ref="O66:O85">AVERAGE(I66:N66)/INDEX($H$53:$H$61,$E$20)</f>
        <v>1.7466666666666664</v>
      </c>
    </row>
    <row r="67" spans="1:15" ht="15">
      <c r="A67">
        <f t="shared" si="8"/>
        <v>3</v>
      </c>
      <c r="B67" s="36">
        <f t="shared" si="11"/>
        <v>0.08000000000000007</v>
      </c>
      <c r="C67" s="36">
        <f t="shared" si="9"/>
        <v>0.09600000000000009</v>
      </c>
      <c r="D67" s="36">
        <f t="shared" si="9"/>
        <v>0.10866666666666658</v>
      </c>
      <c r="E67" s="36">
        <f t="shared" si="9"/>
        <v>0.10333333333333328</v>
      </c>
      <c r="F67" s="36">
        <f t="shared" si="9"/>
        <v>0.10200000000000009</v>
      </c>
      <c r="G67" s="36">
        <f t="shared" si="9"/>
        <v>0.09333333333333327</v>
      </c>
      <c r="H67" s="36">
        <f>AVERAGE(B67:G67)/INDEX($H$53:$H$61,$E$20)</f>
        <v>1.9444444444444444</v>
      </c>
      <c r="I67" s="36">
        <f t="shared" si="12"/>
        <v>0.08399999999999996</v>
      </c>
      <c r="J67" s="36">
        <f t="shared" si="10"/>
        <v>0.13666666666666671</v>
      </c>
      <c r="K67" s="36">
        <f t="shared" si="10"/>
        <v>0.03400000000000003</v>
      </c>
      <c r="L67" s="36">
        <f t="shared" si="10"/>
        <v>0.08000000000000007</v>
      </c>
      <c r="M67" s="36">
        <f t="shared" si="10"/>
        <v>0.10066666666666657</v>
      </c>
      <c r="N67" s="36">
        <f t="shared" si="10"/>
        <v>0.09866666666666668</v>
      </c>
      <c r="O67" s="36">
        <f t="shared" si="13"/>
        <v>1.78</v>
      </c>
    </row>
    <row r="68" spans="1:15" ht="15">
      <c r="A68">
        <f t="shared" si="8"/>
        <v>4</v>
      </c>
      <c r="B68" s="36"/>
      <c r="C68" s="36"/>
      <c r="D68" s="36"/>
      <c r="E68" s="36"/>
      <c r="F68" s="36"/>
      <c r="G68" s="36"/>
      <c r="H68" s="36"/>
      <c r="I68" s="36">
        <f t="shared" si="12"/>
        <v>0</v>
      </c>
      <c r="J68" s="36">
        <f t="shared" si="10"/>
        <v>0</v>
      </c>
      <c r="K68" s="36">
        <f t="shared" si="10"/>
        <v>0</v>
      </c>
      <c r="L68" s="36">
        <f t="shared" si="10"/>
        <v>0</v>
      </c>
      <c r="M68" s="36">
        <f t="shared" si="10"/>
        <v>0</v>
      </c>
      <c r="N68" s="36">
        <f t="shared" si="10"/>
        <v>0</v>
      </c>
      <c r="O68" s="36"/>
    </row>
    <row r="69" spans="1:15" ht="15">
      <c r="A69">
        <f t="shared" si="8"/>
        <v>5</v>
      </c>
      <c r="B69" s="36">
        <f t="shared" si="11"/>
        <v>0.050000000000000044</v>
      </c>
      <c r="C69" s="36">
        <f aca="true" t="shared" si="14" ref="C69:G73">IF(C29=0,0,ABS(C29-C$50))</f>
        <v>0.1160000000000001</v>
      </c>
      <c r="D69" s="36">
        <f t="shared" si="14"/>
        <v>0.038666666666666516</v>
      </c>
      <c r="E69" s="36">
        <f t="shared" si="14"/>
        <v>0.06333333333333324</v>
      </c>
      <c r="F69" s="36">
        <f t="shared" si="14"/>
        <v>0.08200000000000007</v>
      </c>
      <c r="G69" s="36">
        <f t="shared" si="14"/>
        <v>0.033333333333333215</v>
      </c>
      <c r="H69" s="36">
        <f>AVERAGE(B69:G69)/INDEX($H$53:$H$61,$E$20)</f>
        <v>1.2777777777777772</v>
      </c>
      <c r="I69" s="36">
        <f t="shared" si="12"/>
        <v>0.31399999999999995</v>
      </c>
      <c r="J69" s="36">
        <f t="shared" si="10"/>
        <v>0.22666666666666668</v>
      </c>
      <c r="K69" s="36">
        <f t="shared" si="10"/>
        <v>0.12400000000000011</v>
      </c>
      <c r="L69" s="36">
        <f t="shared" si="10"/>
        <v>0.050000000000000044</v>
      </c>
      <c r="M69" s="36">
        <f t="shared" si="10"/>
        <v>0.10066666666666657</v>
      </c>
      <c r="N69" s="36">
        <f t="shared" si="10"/>
        <v>0.17866666666666664</v>
      </c>
      <c r="O69" s="36">
        <f t="shared" si="13"/>
        <v>3.313333333333333</v>
      </c>
    </row>
    <row r="70" spans="1:15" ht="15">
      <c r="A70">
        <f t="shared" si="8"/>
        <v>6</v>
      </c>
      <c r="B70" s="36">
        <f t="shared" si="11"/>
        <v>0.07000000000000006</v>
      </c>
      <c r="C70" s="36">
        <f t="shared" si="14"/>
        <v>0.08600000000000008</v>
      </c>
      <c r="D70" s="36">
        <f t="shared" si="14"/>
        <v>0.08866666666666656</v>
      </c>
      <c r="E70" s="36">
        <f t="shared" si="14"/>
        <v>0.08333333333333326</v>
      </c>
      <c r="F70" s="36">
        <f t="shared" si="14"/>
        <v>0.09200000000000008</v>
      </c>
      <c r="G70" s="36">
        <f t="shared" si="14"/>
        <v>0.09333333333333327</v>
      </c>
      <c r="H70" s="36">
        <f aca="true" t="shared" si="15" ref="H70:H85">AVERAGE(B70:G70)/INDEX($H$53:$H$61,$E$20)</f>
        <v>1.711111111111111</v>
      </c>
      <c r="I70" s="36">
        <f t="shared" si="12"/>
        <v>0.1439999999999999</v>
      </c>
      <c r="J70" s="36">
        <f t="shared" si="10"/>
        <v>0.16666666666666674</v>
      </c>
      <c r="K70" s="36">
        <f t="shared" si="10"/>
        <v>0.04400000000000004</v>
      </c>
      <c r="L70" s="36">
        <f t="shared" si="10"/>
        <v>0.07000000000000006</v>
      </c>
      <c r="M70" s="36">
        <f t="shared" si="10"/>
        <v>0.11066666666666658</v>
      </c>
      <c r="N70" s="36">
        <f t="shared" si="10"/>
        <v>0.1286666666666667</v>
      </c>
      <c r="O70" s="36">
        <f t="shared" si="13"/>
        <v>2.2133333333333334</v>
      </c>
    </row>
    <row r="71" spans="1:15" ht="15">
      <c r="A71">
        <f t="shared" si="8"/>
        <v>7</v>
      </c>
      <c r="B71" s="36">
        <f t="shared" si="11"/>
        <v>0.09000000000000008</v>
      </c>
      <c r="C71" s="36">
        <f t="shared" si="14"/>
        <v>0.1060000000000001</v>
      </c>
      <c r="D71" s="36">
        <f t="shared" si="14"/>
        <v>0.10866666666666658</v>
      </c>
      <c r="E71" s="36">
        <f t="shared" si="14"/>
        <v>0.10333333333333328</v>
      </c>
      <c r="F71" s="36">
        <f t="shared" si="14"/>
        <v>0.1120000000000001</v>
      </c>
      <c r="G71" s="36">
        <f t="shared" si="14"/>
        <v>0.10333333333333328</v>
      </c>
      <c r="H71" s="36">
        <f t="shared" si="15"/>
        <v>2.077777777777778</v>
      </c>
      <c r="I71" s="36">
        <f t="shared" si="12"/>
        <v>0.15399999999999991</v>
      </c>
      <c r="J71" s="36">
        <f t="shared" si="10"/>
        <v>0.21666666666666667</v>
      </c>
      <c r="K71" s="36">
        <f t="shared" si="10"/>
        <v>0.004000000000000115</v>
      </c>
      <c r="L71" s="36">
        <f t="shared" si="10"/>
        <v>0.09000000000000008</v>
      </c>
      <c r="M71" s="36">
        <f t="shared" si="10"/>
        <v>0.12066666666666659</v>
      </c>
      <c r="N71" s="36">
        <f t="shared" si="10"/>
        <v>0.10866666666666669</v>
      </c>
      <c r="O71" s="36">
        <f t="shared" si="13"/>
        <v>2.3133333333333335</v>
      </c>
    </row>
    <row r="72" spans="1:15" ht="15">
      <c r="A72">
        <f t="shared" si="8"/>
        <v>8</v>
      </c>
      <c r="B72" s="36">
        <f t="shared" si="11"/>
        <v>0.050000000000000044</v>
      </c>
      <c r="C72" s="36">
        <f t="shared" si="14"/>
        <v>0.04600000000000004</v>
      </c>
      <c r="D72" s="36">
        <f t="shared" si="14"/>
        <v>0.048666666666666525</v>
      </c>
      <c r="E72" s="36">
        <f t="shared" si="14"/>
        <v>0.06333333333333324</v>
      </c>
      <c r="F72" s="36">
        <f t="shared" si="14"/>
        <v>0.062000000000000055</v>
      </c>
      <c r="G72" s="36">
        <f t="shared" si="14"/>
        <v>0.05333333333333323</v>
      </c>
      <c r="H72" s="36">
        <f>AVERAGE(B72:G72)/INDEX($H$53:$H$61,$E$20)</f>
        <v>1.077777777777777</v>
      </c>
      <c r="I72" s="36">
        <f t="shared" si="12"/>
        <v>0.12399999999999989</v>
      </c>
      <c r="J72" s="36">
        <f t="shared" si="10"/>
        <v>0.14666666666666672</v>
      </c>
      <c r="K72" s="36">
        <f t="shared" si="10"/>
        <v>0.05400000000000005</v>
      </c>
      <c r="L72" s="36">
        <f t="shared" si="10"/>
        <v>0.050000000000000044</v>
      </c>
      <c r="M72" s="36">
        <f t="shared" si="10"/>
        <v>0.08066666666666655</v>
      </c>
      <c r="N72" s="36">
        <f t="shared" si="10"/>
        <v>0.09866666666666668</v>
      </c>
      <c r="O72" s="36">
        <f t="shared" si="13"/>
        <v>1.8466666666666665</v>
      </c>
    </row>
    <row r="73" spans="1:15" ht="15">
      <c r="A73">
        <f t="shared" si="8"/>
        <v>9</v>
      </c>
      <c r="B73" s="36">
        <f t="shared" si="11"/>
        <v>0.08000000000000007</v>
      </c>
      <c r="C73" s="36">
        <f t="shared" si="14"/>
        <v>0.136</v>
      </c>
      <c r="D73" s="36">
        <f t="shared" si="14"/>
        <v>0.08866666666666656</v>
      </c>
      <c r="E73" s="36">
        <f t="shared" si="14"/>
        <v>0.033333333333333215</v>
      </c>
      <c r="F73" s="36">
        <f t="shared" si="14"/>
        <v>0.002000000000000113</v>
      </c>
      <c r="G73" s="36">
        <f t="shared" si="14"/>
        <v>0.06333333333333324</v>
      </c>
      <c r="H73" s="36">
        <f t="shared" si="15"/>
        <v>1.3444444444444439</v>
      </c>
      <c r="I73" s="36">
        <f t="shared" si="12"/>
        <v>0.17399999999999993</v>
      </c>
      <c r="J73" s="36">
        <f aca="true" t="shared" si="16" ref="J73:J85">+IF(C73&gt;0,+ABS(J33-J$50),0)</f>
        <v>0.22666666666666668</v>
      </c>
      <c r="K73" s="36">
        <f aca="true" t="shared" si="17" ref="K73:K85">+IF(D73&gt;0,+ABS(K33-K$50),0)</f>
        <v>0.05400000000000005</v>
      </c>
      <c r="L73" s="36">
        <f aca="true" t="shared" si="18" ref="L73:L85">+IF(E73&gt;0,+ABS(L33-L$50),0)</f>
        <v>0.08000000000000007</v>
      </c>
      <c r="M73" s="36">
        <f aca="true" t="shared" si="19" ref="M73:M85">+IF(F73&gt;0,+ABS(M33-M$50),0)</f>
        <v>0.04066666666666652</v>
      </c>
      <c r="N73" s="36">
        <f aca="true" t="shared" si="20" ref="N73:N85">+IF(G73&gt;0,+ABS(N33-N$50),0)</f>
        <v>0.1186666666666667</v>
      </c>
      <c r="O73" s="36">
        <f t="shared" si="13"/>
        <v>2.313333333333333</v>
      </c>
    </row>
    <row r="74" spans="1:15" ht="15">
      <c r="A74">
        <f t="shared" si="8"/>
        <v>10</v>
      </c>
      <c r="B74" s="36"/>
      <c r="C74" s="36"/>
      <c r="D74" s="36"/>
      <c r="E74" s="36"/>
      <c r="F74" s="36"/>
      <c r="G74" s="36"/>
      <c r="H74" s="36"/>
      <c r="I74" s="36">
        <f t="shared" si="12"/>
        <v>0</v>
      </c>
      <c r="J74" s="36">
        <f t="shared" si="16"/>
        <v>0</v>
      </c>
      <c r="K74" s="36">
        <f t="shared" si="17"/>
        <v>0</v>
      </c>
      <c r="L74" s="36">
        <f t="shared" si="18"/>
        <v>0</v>
      </c>
      <c r="M74" s="36">
        <f t="shared" si="19"/>
        <v>0</v>
      </c>
      <c r="N74" s="36">
        <f t="shared" si="20"/>
        <v>0</v>
      </c>
      <c r="O74" s="36"/>
    </row>
    <row r="75" spans="1:15" ht="15">
      <c r="A75">
        <f t="shared" si="8"/>
        <v>11</v>
      </c>
      <c r="B75" s="36">
        <f t="shared" si="11"/>
        <v>0.06000000000000005</v>
      </c>
      <c r="C75" s="36">
        <f aca="true" t="shared" si="21" ref="C75:G82">IF(C35=0,0,ABS(C35-C$50))</f>
        <v>0.06600000000000006</v>
      </c>
      <c r="D75" s="36">
        <f t="shared" si="21"/>
        <v>0.058666666666666534</v>
      </c>
      <c r="E75" s="36">
        <f t="shared" si="21"/>
        <v>0.07333333333333325</v>
      </c>
      <c r="F75" s="36">
        <f t="shared" si="21"/>
        <v>0.08200000000000007</v>
      </c>
      <c r="G75" s="36">
        <f t="shared" si="21"/>
        <v>0.06333333333333324</v>
      </c>
      <c r="H75" s="36">
        <f t="shared" si="15"/>
        <v>1.3444444444444439</v>
      </c>
      <c r="I75" s="36">
        <f t="shared" si="12"/>
        <v>0.1339999999999999</v>
      </c>
      <c r="J75" s="36">
        <f t="shared" si="16"/>
        <v>0.14666666666666672</v>
      </c>
      <c r="K75" s="36">
        <f t="shared" si="17"/>
        <v>0.04400000000000004</v>
      </c>
      <c r="L75" s="36">
        <f t="shared" si="18"/>
        <v>0.06000000000000005</v>
      </c>
      <c r="M75" s="36">
        <f t="shared" si="19"/>
        <v>0.09066666666666656</v>
      </c>
      <c r="N75" s="36">
        <f t="shared" si="20"/>
        <v>0.09866666666666668</v>
      </c>
      <c r="O75" s="36">
        <f t="shared" si="13"/>
        <v>1.913333333333333</v>
      </c>
    </row>
    <row r="76" spans="1:15" ht="15">
      <c r="A76">
        <f t="shared" si="8"/>
        <v>12</v>
      </c>
      <c r="B76" s="36">
        <f t="shared" si="11"/>
        <v>0.050000000000000044</v>
      </c>
      <c r="C76" s="36">
        <f t="shared" si="21"/>
        <v>0.09600000000000009</v>
      </c>
      <c r="D76" s="36">
        <f t="shared" si="21"/>
        <v>0.07866666666666655</v>
      </c>
      <c r="E76" s="36">
        <f t="shared" si="21"/>
        <v>0.043333333333333224</v>
      </c>
      <c r="F76" s="36">
        <f t="shared" si="21"/>
        <v>0.13200000000000012</v>
      </c>
      <c r="G76" s="36">
        <f t="shared" si="21"/>
        <v>0.043333333333333224</v>
      </c>
      <c r="H76" s="36">
        <f t="shared" si="15"/>
        <v>1.4777777777777774</v>
      </c>
      <c r="I76" s="36">
        <f t="shared" si="12"/>
        <v>0.35399999999999987</v>
      </c>
      <c r="J76" s="36">
        <f t="shared" si="16"/>
        <v>0.19666666666666666</v>
      </c>
      <c r="K76" s="36">
        <f t="shared" si="17"/>
        <v>0.03400000000000003</v>
      </c>
      <c r="L76" s="36">
        <f t="shared" si="18"/>
        <v>0.050000000000000044</v>
      </c>
      <c r="M76" s="36">
        <f t="shared" si="19"/>
        <v>0.0006666666666665932</v>
      </c>
      <c r="N76" s="36">
        <f t="shared" si="20"/>
        <v>0.16866666666666674</v>
      </c>
      <c r="O76" s="36">
        <f t="shared" si="13"/>
        <v>2.6799999999999993</v>
      </c>
    </row>
    <row r="77" spans="1:15" ht="15">
      <c r="A77">
        <f t="shared" si="8"/>
        <v>13</v>
      </c>
      <c r="B77" s="36">
        <f t="shared" si="11"/>
        <v>0.20800000000000007</v>
      </c>
      <c r="C77" s="36">
        <f t="shared" si="21"/>
        <v>0.18300000000000005</v>
      </c>
      <c r="D77" s="36">
        <f t="shared" si="21"/>
        <v>0.21866666666666656</v>
      </c>
      <c r="E77" s="36">
        <f t="shared" si="21"/>
        <v>0.2523333333333332</v>
      </c>
      <c r="F77" s="36">
        <f t="shared" si="21"/>
        <v>0.22000000000000008</v>
      </c>
      <c r="G77" s="36">
        <f t="shared" si="21"/>
        <v>0.2473333333333333</v>
      </c>
      <c r="H77" s="36">
        <f t="shared" si="15"/>
        <v>4.43111111111111</v>
      </c>
      <c r="I77" s="36">
        <f t="shared" si="12"/>
        <v>0.1379999999999999</v>
      </c>
      <c r="J77" s="36">
        <f t="shared" si="16"/>
        <v>0.33066666666666666</v>
      </c>
      <c r="K77" s="36">
        <f t="shared" si="17"/>
        <v>0.15399999999999991</v>
      </c>
      <c r="L77" s="36">
        <f t="shared" si="18"/>
        <v>0.20800000000000007</v>
      </c>
      <c r="M77" s="36">
        <f t="shared" si="19"/>
        <v>0.31666666666666654</v>
      </c>
      <c r="N77" s="36">
        <f t="shared" si="20"/>
        <v>0.2806666666666667</v>
      </c>
      <c r="O77" s="36">
        <f t="shared" si="13"/>
        <v>4.759999999999999</v>
      </c>
    </row>
    <row r="78" spans="1:15" ht="15">
      <c r="A78">
        <f t="shared" si="8"/>
        <v>14</v>
      </c>
      <c r="B78" s="36">
        <f t="shared" si="11"/>
        <v>0</v>
      </c>
      <c r="C78" s="36">
        <f t="shared" si="21"/>
        <v>0.016000000000000014</v>
      </c>
      <c r="D78" s="36">
        <f t="shared" si="21"/>
        <v>0.018666666666666498</v>
      </c>
      <c r="E78" s="36">
        <f t="shared" si="21"/>
        <v>0.013333333333333197</v>
      </c>
      <c r="F78" s="36">
        <f t="shared" si="21"/>
        <v>0.03200000000000003</v>
      </c>
      <c r="G78" s="36">
        <f t="shared" si="21"/>
        <v>0.023333333333333206</v>
      </c>
      <c r="H78" s="36">
        <f>AVERAGE(B78:G78)/INDEX($H$53:$H$61,$E$20)</f>
        <v>0.3444444444444431</v>
      </c>
      <c r="I78" s="36">
        <f t="shared" si="12"/>
        <v>0</v>
      </c>
      <c r="J78" s="36">
        <f t="shared" si="16"/>
        <v>0.026666666666666727</v>
      </c>
      <c r="K78" s="36">
        <f t="shared" si="17"/>
        <v>0.13400000000000012</v>
      </c>
      <c r="L78" s="36">
        <f t="shared" si="18"/>
        <v>0</v>
      </c>
      <c r="M78" s="36">
        <f t="shared" si="19"/>
        <v>0.03066666666666651</v>
      </c>
      <c r="N78" s="36">
        <f t="shared" si="20"/>
        <v>0.07866666666666666</v>
      </c>
      <c r="O78" s="36">
        <f t="shared" si="13"/>
        <v>0.9</v>
      </c>
    </row>
    <row r="79" spans="1:15" ht="15">
      <c r="A79">
        <f t="shared" si="8"/>
        <v>15</v>
      </c>
      <c r="B79" s="36">
        <f t="shared" si="11"/>
        <v>0</v>
      </c>
      <c r="C79" s="36">
        <f t="shared" si="21"/>
        <v>0.016000000000000014</v>
      </c>
      <c r="D79" s="36">
        <f t="shared" si="21"/>
        <v>0.028666666666666507</v>
      </c>
      <c r="E79" s="36">
        <f t="shared" si="21"/>
        <v>0.023333333333333206</v>
      </c>
      <c r="F79" s="36">
        <f t="shared" si="21"/>
        <v>0.04200000000000004</v>
      </c>
      <c r="G79" s="36">
        <f t="shared" si="21"/>
        <v>0.033333333333333215</v>
      </c>
      <c r="H79" s="36">
        <f t="shared" si="15"/>
        <v>0.4777777777777766</v>
      </c>
      <c r="I79" s="36">
        <f t="shared" si="12"/>
        <v>0</v>
      </c>
      <c r="J79" s="36">
        <f t="shared" si="16"/>
        <v>0.056666666666666754</v>
      </c>
      <c r="K79" s="36">
        <f t="shared" si="17"/>
        <v>0.10400000000000009</v>
      </c>
      <c r="L79" s="36">
        <f t="shared" si="18"/>
        <v>0</v>
      </c>
      <c r="M79" s="36">
        <f t="shared" si="19"/>
        <v>0.05066666666666653</v>
      </c>
      <c r="N79" s="36">
        <f t="shared" si="20"/>
        <v>0.06866666666666665</v>
      </c>
      <c r="O79" s="36">
        <f t="shared" si="13"/>
        <v>0.9333333333333333</v>
      </c>
    </row>
    <row r="80" spans="1:15" ht="15">
      <c r="A80">
        <f t="shared" si="8"/>
        <v>16</v>
      </c>
      <c r="B80" s="36">
        <f t="shared" si="11"/>
        <v>0.0018480000000000718</v>
      </c>
      <c r="C80" s="36">
        <f t="shared" si="21"/>
        <v>0.01941000000000004</v>
      </c>
      <c r="D80" s="36">
        <f t="shared" si="21"/>
        <v>0.020804666666666582</v>
      </c>
      <c r="E80" s="36">
        <f t="shared" si="21"/>
        <v>0.017037333333333238</v>
      </c>
      <c r="F80" s="36">
        <f t="shared" si="21"/>
        <v>0.02484200000000003</v>
      </c>
      <c r="G80" s="36">
        <f t="shared" si="21"/>
        <v>0.015173333333333261</v>
      </c>
      <c r="H80" s="36">
        <f t="shared" si="15"/>
        <v>0.33038444444444404</v>
      </c>
      <c r="I80" s="36">
        <f t="shared" si="12"/>
        <v>0.06574599999999986</v>
      </c>
      <c r="J80" s="36">
        <f t="shared" si="16"/>
        <v>0.09270666666666671</v>
      </c>
      <c r="K80" s="36">
        <f t="shared" si="17"/>
        <v>0.10537400000000008</v>
      </c>
      <c r="L80" s="36">
        <f t="shared" si="18"/>
        <v>0.0018480000000000718</v>
      </c>
      <c r="M80" s="36">
        <f t="shared" si="19"/>
        <v>0.026824666666666497</v>
      </c>
      <c r="N80" s="36">
        <f t="shared" si="20"/>
        <v>0.060216666666666696</v>
      </c>
      <c r="O80" s="36">
        <f t="shared" si="13"/>
        <v>1.1757199999999997</v>
      </c>
    </row>
    <row r="81" spans="1:15" ht="15">
      <c r="A81">
        <f>+A41</f>
        <v>17</v>
      </c>
      <c r="B81" s="36">
        <f t="shared" si="11"/>
        <v>0.10000000000000009</v>
      </c>
      <c r="C81" s="36">
        <f t="shared" si="21"/>
        <v>0.05600000000000005</v>
      </c>
      <c r="D81" s="36">
        <f t="shared" si="21"/>
        <v>0.08866666666666656</v>
      </c>
      <c r="E81" s="36">
        <f t="shared" si="21"/>
        <v>0.043333333333333224</v>
      </c>
      <c r="F81" s="36">
        <f t="shared" si="21"/>
        <v>0.052000000000000046</v>
      </c>
      <c r="G81" s="36">
        <f t="shared" si="21"/>
        <v>0.043333333333333224</v>
      </c>
      <c r="H81" s="36">
        <f t="shared" si="15"/>
        <v>1.2777777777777772</v>
      </c>
      <c r="I81" s="36">
        <f t="shared" si="12"/>
        <v>0.21399999999999997</v>
      </c>
      <c r="J81" s="36">
        <f t="shared" si="16"/>
        <v>0.2666666666666667</v>
      </c>
      <c r="K81" s="36">
        <f t="shared" si="17"/>
        <v>0.02400000000000002</v>
      </c>
      <c r="L81" s="36">
        <f t="shared" si="18"/>
        <v>0.10000000000000009</v>
      </c>
      <c r="M81" s="36">
        <f t="shared" si="19"/>
        <v>0.07066666666666654</v>
      </c>
      <c r="N81" s="36">
        <f t="shared" si="20"/>
        <v>0.06866666666666665</v>
      </c>
      <c r="O81" s="36">
        <f t="shared" si="13"/>
        <v>2.48</v>
      </c>
    </row>
    <row r="82" spans="1:15" ht="15">
      <c r="A82">
        <f t="shared" si="8"/>
        <v>18</v>
      </c>
      <c r="B82" s="36">
        <f t="shared" si="11"/>
        <v>0</v>
      </c>
      <c r="C82" s="36">
        <f t="shared" si="21"/>
        <v>0</v>
      </c>
      <c r="D82" s="36">
        <f t="shared" si="21"/>
        <v>0</v>
      </c>
      <c r="E82" s="36">
        <f t="shared" si="21"/>
        <v>0</v>
      </c>
      <c r="F82" s="36">
        <f t="shared" si="21"/>
        <v>0</v>
      </c>
      <c r="G82" s="36">
        <f t="shared" si="21"/>
        <v>0</v>
      </c>
      <c r="H82" s="36">
        <f t="shared" si="15"/>
        <v>0</v>
      </c>
      <c r="I82" s="36">
        <f t="shared" si="12"/>
        <v>0</v>
      </c>
      <c r="J82" s="36">
        <f t="shared" si="16"/>
        <v>0</v>
      </c>
      <c r="K82" s="36">
        <f t="shared" si="17"/>
        <v>0</v>
      </c>
      <c r="L82" s="36">
        <f t="shared" si="18"/>
        <v>0</v>
      </c>
      <c r="M82" s="36">
        <f t="shared" si="19"/>
        <v>0</v>
      </c>
      <c r="N82" s="36">
        <f t="shared" si="20"/>
        <v>0</v>
      </c>
      <c r="O82" s="36"/>
    </row>
    <row r="83" spans="1:15" ht="15">
      <c r="A83">
        <f t="shared" si="8"/>
        <v>19</v>
      </c>
      <c r="B83" s="36"/>
      <c r="C83" s="36"/>
      <c r="D83" s="36"/>
      <c r="E83" s="36"/>
      <c r="F83" s="36"/>
      <c r="G83" s="36"/>
      <c r="H83" s="36"/>
      <c r="I83" s="36">
        <f t="shared" si="12"/>
        <v>0</v>
      </c>
      <c r="J83" s="36">
        <f t="shared" si="16"/>
        <v>0</v>
      </c>
      <c r="K83" s="36">
        <f t="shared" si="17"/>
        <v>0</v>
      </c>
      <c r="L83" s="36">
        <f t="shared" si="18"/>
        <v>0</v>
      </c>
      <c r="M83" s="36">
        <f t="shared" si="19"/>
        <v>0</v>
      </c>
      <c r="N83" s="36">
        <f t="shared" si="20"/>
        <v>0</v>
      </c>
      <c r="O83" s="36"/>
    </row>
    <row r="84" spans="1:15" ht="15">
      <c r="A84">
        <f t="shared" si="8"/>
        <v>20</v>
      </c>
      <c r="B84" s="36">
        <f t="shared" si="11"/>
        <v>0.010000000000000009</v>
      </c>
      <c r="C84" s="36">
        <f aca="true" t="shared" si="22" ref="C84:G85">IF(C44=0,0,ABS(C44-C$50))</f>
        <v>0.07600000000000007</v>
      </c>
      <c r="D84" s="36">
        <f t="shared" si="22"/>
        <v>0.08866666666666656</v>
      </c>
      <c r="E84" s="36">
        <f t="shared" si="22"/>
        <v>0.08333333333333326</v>
      </c>
      <c r="F84" s="36">
        <f t="shared" si="22"/>
        <v>0.052000000000000046</v>
      </c>
      <c r="G84" s="36">
        <f t="shared" si="22"/>
        <v>0.09333333333333327</v>
      </c>
      <c r="H84" s="36">
        <f t="shared" si="15"/>
        <v>1.3444444444444439</v>
      </c>
      <c r="I84" s="36">
        <f t="shared" si="12"/>
        <v>0.31399999999999995</v>
      </c>
      <c r="J84" s="36">
        <f t="shared" si="16"/>
        <v>0.20666666666666667</v>
      </c>
      <c r="K84" s="36">
        <f t="shared" si="17"/>
        <v>0.03400000000000003</v>
      </c>
      <c r="L84" s="36">
        <f t="shared" si="18"/>
        <v>0.010000000000000009</v>
      </c>
      <c r="M84" s="36">
        <f t="shared" si="19"/>
        <v>0.07066666666666654</v>
      </c>
      <c r="N84" s="36">
        <f t="shared" si="20"/>
        <v>0.13866666666666672</v>
      </c>
      <c r="O84" s="36">
        <f t="shared" si="13"/>
        <v>2.579999999999999</v>
      </c>
    </row>
    <row r="85" spans="1:15" ht="15">
      <c r="A85">
        <f>+A45</f>
        <v>21</v>
      </c>
      <c r="B85" s="36">
        <f t="shared" si="11"/>
        <v>0.023333333333333317</v>
      </c>
      <c r="C85" s="36">
        <f t="shared" si="22"/>
        <v>0.03600000000000003</v>
      </c>
      <c r="D85" s="36">
        <f t="shared" si="22"/>
        <v>0.038666666666666516</v>
      </c>
      <c r="E85" s="36">
        <f t="shared" si="22"/>
        <v>0.036666666666666514</v>
      </c>
      <c r="F85" s="36">
        <f t="shared" si="22"/>
        <v>0.04200000000000004</v>
      </c>
      <c r="G85" s="36">
        <f t="shared" si="22"/>
        <v>0.033333333333333215</v>
      </c>
      <c r="H85" s="36">
        <f t="shared" si="15"/>
        <v>0.6999999999999987</v>
      </c>
      <c r="I85" s="36">
        <f t="shared" si="12"/>
        <v>0.07066666666666654</v>
      </c>
      <c r="J85" s="36">
        <f t="shared" si="16"/>
        <v>0.1233333333333333</v>
      </c>
      <c r="K85" s="36">
        <f t="shared" si="17"/>
        <v>0.07066666666666677</v>
      </c>
      <c r="L85" s="36">
        <f t="shared" si="18"/>
        <v>0.023333333333333317</v>
      </c>
      <c r="M85" s="36">
        <f t="shared" si="19"/>
        <v>0.07066666666666654</v>
      </c>
      <c r="N85" s="36">
        <f t="shared" si="20"/>
        <v>0.08866666666666667</v>
      </c>
      <c r="O85" s="36">
        <f t="shared" si="13"/>
        <v>1.4911111111111104</v>
      </c>
    </row>
  </sheetData>
  <mergeCells count="3">
    <mergeCell ref="B19:C19"/>
    <mergeCell ref="B23:G23"/>
    <mergeCell ref="I23:N23"/>
  </mergeCells>
  <printOptions/>
  <pageMargins left="0.75" right="0.75" top="1" bottom="1" header="0.4921259845" footer="0.4921259845"/>
  <pageSetup horizontalDpi="300" verticalDpi="300" orientation="portrait" paperSize="9" r:id="rId4"/>
  <headerFooter alignWithMargins="0">
    <oddHeader>&amp;L&amp;A &amp;F</oddHead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W93"/>
  <sheetViews>
    <sheetView zoomScale="75" zoomScaleNormal="75" workbookViewId="0" topLeftCell="A1">
      <selection activeCell="F37" sqref="F37"/>
    </sheetView>
  </sheetViews>
  <sheetFormatPr defaultColWidth="11.5546875" defaultRowHeight="15"/>
  <cols>
    <col min="1" max="1" width="7.77734375" style="128" customWidth="1"/>
    <col min="2" max="16" width="6.77734375" style="128" customWidth="1"/>
    <col min="17" max="17" width="11.5546875" style="128" customWidth="1" collapsed="1"/>
    <col min="18" max="23" width="11.5546875" style="128" customWidth="1"/>
    <col min="24" max="16384" width="7.4453125" style="128" customWidth="1"/>
  </cols>
  <sheetData>
    <row r="1" spans="1:10" ht="13.5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6" ht="13.5" thickBot="1">
      <c r="A2" s="3"/>
      <c r="B2" s="4"/>
      <c r="F2" s="156"/>
    </row>
    <row r="3" ht="12.75">
      <c r="B3" s="156"/>
    </row>
    <row r="4" spans="2:8" ht="12.75">
      <c r="B4" s="218"/>
      <c r="H4" s="156"/>
    </row>
    <row r="5" spans="1:7" ht="12.75">
      <c r="A5" s="150"/>
      <c r="B5" s="151"/>
      <c r="C5" s="300"/>
      <c r="D5" s="152"/>
      <c r="G5" s="150"/>
    </row>
    <row r="6" spans="1:3" ht="12" customHeight="1">
      <c r="A6" s="153"/>
      <c r="B6" s="151"/>
      <c r="C6" s="300"/>
    </row>
    <row r="7" spans="2:3" ht="12.75">
      <c r="B7" s="151"/>
      <c r="C7" s="300"/>
    </row>
    <row r="8" spans="1:7" ht="12.75">
      <c r="A8" s="150"/>
      <c r="B8" s="151"/>
      <c r="C8" s="151"/>
      <c r="G8" s="156"/>
    </row>
    <row r="11" ht="12.75">
      <c r="E11" s="301"/>
    </row>
    <row r="12" spans="1:10" ht="12.75">
      <c r="A12" s="82"/>
      <c r="B12" s="82"/>
      <c r="H12" s="147"/>
      <c r="I12" s="147"/>
      <c r="J12" s="147"/>
    </row>
    <row r="14" spans="1:17" ht="12.75">
      <c r="A14" s="128" t="s">
        <v>27</v>
      </c>
      <c r="I14" s="128" t="s">
        <v>28</v>
      </c>
      <c r="Q14" s="128" t="s">
        <v>32</v>
      </c>
    </row>
    <row r="15" spans="1:18" ht="12.75">
      <c r="A15" s="155" t="s">
        <v>0</v>
      </c>
      <c r="B15" s="156" t="s">
        <v>1</v>
      </c>
      <c r="E15" s="136"/>
      <c r="F15" s="136"/>
      <c r="G15" s="136"/>
      <c r="H15" s="136"/>
      <c r="I15" s="155" t="s">
        <v>0</v>
      </c>
      <c r="J15" s="156" t="s">
        <v>1</v>
      </c>
      <c r="M15" s="136"/>
      <c r="N15" s="136"/>
      <c r="O15" s="136"/>
      <c r="Q15" s="128" t="str">
        <f>+A15</f>
        <v>125 Hz</v>
      </c>
      <c r="R15" s="128" t="str">
        <f>+B15</f>
        <v>octave</v>
      </c>
    </row>
    <row r="16" spans="1:23" ht="12.75">
      <c r="A16" s="142"/>
      <c r="B16" s="140" t="s">
        <v>2</v>
      </c>
      <c r="C16" s="140" t="s">
        <v>3</v>
      </c>
      <c r="D16" s="139" t="s">
        <v>4</v>
      </c>
      <c r="E16" s="139" t="s">
        <v>5</v>
      </c>
      <c r="F16" s="140" t="s">
        <v>6</v>
      </c>
      <c r="G16" s="139" t="s">
        <v>7</v>
      </c>
      <c r="H16" s="141"/>
      <c r="I16" s="142"/>
      <c r="J16" s="140" t="s">
        <v>2</v>
      </c>
      <c r="K16" s="140" t="s">
        <v>3</v>
      </c>
      <c r="L16" s="139" t="s">
        <v>4</v>
      </c>
      <c r="M16" s="139" t="s">
        <v>5</v>
      </c>
      <c r="N16" s="140" t="s">
        <v>6</v>
      </c>
      <c r="O16" s="139" t="s">
        <v>7</v>
      </c>
      <c r="P16" s="157"/>
      <c r="Q16" s="128">
        <f>+A16</f>
        <v>0</v>
      </c>
      <c r="R16" s="128" t="str">
        <f>+B16</f>
        <v>S1R1</v>
      </c>
      <c r="S16" s="128" t="str">
        <f>+C16</f>
        <v>S1R2</v>
      </c>
      <c r="T16" s="128" t="str">
        <f>+D16</f>
        <v>S1R3</v>
      </c>
      <c r="U16" s="128" t="str">
        <f>+E16</f>
        <v>S2R1</v>
      </c>
      <c r="V16" s="128" t="str">
        <f>+F16</f>
        <v>S2R2</v>
      </c>
      <c r="W16" s="128" t="str">
        <f>+G16</f>
        <v>S2R3</v>
      </c>
    </row>
    <row r="17" spans="1:23" ht="12.75">
      <c r="A17" s="130" t="s">
        <v>8</v>
      </c>
      <c r="B17" s="302">
        <v>0.8</v>
      </c>
      <c r="C17" s="302">
        <v>0.8</v>
      </c>
      <c r="D17" s="302">
        <v>0.8</v>
      </c>
      <c r="E17" s="302">
        <v>0.8</v>
      </c>
      <c r="F17" s="302">
        <v>0.79</v>
      </c>
      <c r="G17" s="302">
        <v>0.81</v>
      </c>
      <c r="H17" s="125"/>
      <c r="I17" s="130" t="s">
        <v>8</v>
      </c>
      <c r="J17" s="302">
        <v>0.78</v>
      </c>
      <c r="K17" s="302">
        <v>0.78</v>
      </c>
      <c r="L17" s="302">
        <v>0.78</v>
      </c>
      <c r="M17" s="302">
        <v>0.76</v>
      </c>
      <c r="N17" s="302">
        <v>0.79</v>
      </c>
      <c r="O17" s="302">
        <v>0.8</v>
      </c>
      <c r="P17" s="158"/>
      <c r="Q17" s="128" t="str">
        <f aca="true" t="shared" si="0" ref="Q17:Q25">+A17</f>
        <v>T30/s</v>
      </c>
      <c r="R17" s="127">
        <f aca="true" t="shared" si="1" ref="R17:W25">+B17-J17</f>
        <v>0.020000000000000018</v>
      </c>
      <c r="S17" s="127">
        <f t="shared" si="1"/>
        <v>0.020000000000000018</v>
      </c>
      <c r="T17" s="127">
        <f t="shared" si="1"/>
        <v>0.020000000000000018</v>
      </c>
      <c r="U17" s="127">
        <f t="shared" si="1"/>
        <v>0.040000000000000036</v>
      </c>
      <c r="V17" s="127">
        <f t="shared" si="1"/>
        <v>0</v>
      </c>
      <c r="W17" s="127">
        <f t="shared" si="1"/>
        <v>0.010000000000000009</v>
      </c>
    </row>
    <row r="18" spans="1:23" ht="12.75">
      <c r="A18" s="130" t="s">
        <v>9</v>
      </c>
      <c r="B18" s="224">
        <v>0.8</v>
      </c>
      <c r="C18" s="225">
        <v>0.78</v>
      </c>
      <c r="D18" s="225">
        <v>0.79</v>
      </c>
      <c r="E18" s="224">
        <v>0.75</v>
      </c>
      <c r="F18" s="225">
        <v>0.81</v>
      </c>
      <c r="G18" s="225">
        <v>0.74</v>
      </c>
      <c r="H18" s="125"/>
      <c r="I18" s="130" t="s">
        <v>9</v>
      </c>
      <c r="J18" s="224">
        <v>0.77</v>
      </c>
      <c r="K18" s="225">
        <v>0.79</v>
      </c>
      <c r="L18" s="225">
        <v>0.8</v>
      </c>
      <c r="M18" s="224">
        <v>0.76</v>
      </c>
      <c r="N18" s="225">
        <v>0.8</v>
      </c>
      <c r="O18" s="225">
        <v>0.77</v>
      </c>
      <c r="P18" s="158"/>
      <c r="Q18" s="128" t="str">
        <f t="shared" si="0"/>
        <v>EDT/s</v>
      </c>
      <c r="R18" s="127">
        <f t="shared" si="1"/>
        <v>0.030000000000000027</v>
      </c>
      <c r="S18" s="127">
        <f t="shared" si="1"/>
        <v>-0.010000000000000009</v>
      </c>
      <c r="T18" s="127">
        <f t="shared" si="1"/>
        <v>-0.010000000000000009</v>
      </c>
      <c r="U18" s="127">
        <f t="shared" si="1"/>
        <v>-0.010000000000000009</v>
      </c>
      <c r="V18" s="127">
        <f t="shared" si="1"/>
        <v>0.010000000000000009</v>
      </c>
      <c r="W18" s="127">
        <f t="shared" si="1"/>
        <v>-0.030000000000000027</v>
      </c>
    </row>
    <row r="19" spans="1:23" ht="12.75">
      <c r="A19" s="130" t="s">
        <v>10</v>
      </c>
      <c r="B19" s="224">
        <v>61.6</v>
      </c>
      <c r="C19" s="225">
        <v>65.2</v>
      </c>
      <c r="D19" s="225">
        <v>61.6</v>
      </c>
      <c r="E19" s="224">
        <v>67.5</v>
      </c>
      <c r="F19" s="225">
        <v>60.2</v>
      </c>
      <c r="G19" s="225">
        <v>69.8</v>
      </c>
      <c r="H19" s="125"/>
      <c r="I19" s="130" t="s">
        <v>10</v>
      </c>
      <c r="J19" s="224">
        <v>60.1</v>
      </c>
      <c r="K19" s="225">
        <v>65.8</v>
      </c>
      <c r="L19" s="225">
        <v>57.5</v>
      </c>
      <c r="M19" s="224">
        <v>68.3</v>
      </c>
      <c r="N19" s="225">
        <v>62.2</v>
      </c>
      <c r="O19" s="225">
        <v>68.8</v>
      </c>
      <c r="P19" s="158"/>
      <c r="Q19" s="128" t="str">
        <f t="shared" si="0"/>
        <v>D/%</v>
      </c>
      <c r="R19" s="127">
        <f t="shared" si="1"/>
        <v>1.5</v>
      </c>
      <c r="S19" s="127">
        <f t="shared" si="1"/>
        <v>-0.5999999999999943</v>
      </c>
      <c r="T19" s="127">
        <f t="shared" si="1"/>
        <v>4.100000000000001</v>
      </c>
      <c r="U19" s="127">
        <f t="shared" si="1"/>
        <v>-0.7999999999999972</v>
      </c>
      <c r="V19" s="127">
        <f t="shared" si="1"/>
        <v>-2</v>
      </c>
      <c r="W19" s="127">
        <f t="shared" si="1"/>
        <v>1</v>
      </c>
    </row>
    <row r="20" spans="1:23" ht="12.75">
      <c r="A20" s="130" t="s">
        <v>11</v>
      </c>
      <c r="B20" s="224">
        <v>5.5</v>
      </c>
      <c r="C20" s="225">
        <v>5.8</v>
      </c>
      <c r="D20" s="225">
        <v>5.2</v>
      </c>
      <c r="E20" s="224">
        <v>6.6</v>
      </c>
      <c r="F20" s="225">
        <v>5.1</v>
      </c>
      <c r="G20" s="225">
        <v>6.6</v>
      </c>
      <c r="H20" s="125"/>
      <c r="I20" s="130" t="s">
        <v>11</v>
      </c>
      <c r="J20" s="224">
        <v>5.4</v>
      </c>
      <c r="K20" s="225">
        <v>6.1</v>
      </c>
      <c r="L20" s="225">
        <v>5</v>
      </c>
      <c r="M20" s="224">
        <v>6.3</v>
      </c>
      <c r="N20" s="225">
        <v>5.3</v>
      </c>
      <c r="O20" s="225">
        <v>6.4</v>
      </c>
      <c r="P20" s="158"/>
      <c r="Q20" s="128" t="str">
        <f t="shared" si="0"/>
        <v>C/dB</v>
      </c>
      <c r="R20" s="127">
        <f t="shared" si="1"/>
        <v>0.09999999999999964</v>
      </c>
      <c r="S20" s="127">
        <f t="shared" si="1"/>
        <v>-0.2999999999999998</v>
      </c>
      <c r="T20" s="127">
        <f t="shared" si="1"/>
        <v>0.20000000000000018</v>
      </c>
      <c r="U20" s="127">
        <f t="shared" si="1"/>
        <v>0.2999999999999998</v>
      </c>
      <c r="V20" s="127">
        <f t="shared" si="1"/>
        <v>-0.20000000000000018</v>
      </c>
      <c r="W20" s="127">
        <f t="shared" si="1"/>
        <v>0.1999999999999993</v>
      </c>
    </row>
    <row r="21" spans="1:23" ht="12.75">
      <c r="A21" s="130" t="s">
        <v>12</v>
      </c>
      <c r="B21" s="224">
        <v>51.7</v>
      </c>
      <c r="C21" s="225">
        <v>47.9</v>
      </c>
      <c r="D21" s="225">
        <v>53.8</v>
      </c>
      <c r="E21" s="224">
        <v>44.5</v>
      </c>
      <c r="F21" s="225">
        <v>53.6</v>
      </c>
      <c r="G21" s="225">
        <v>43.8</v>
      </c>
      <c r="H21" s="125"/>
      <c r="I21" s="130" t="s">
        <v>12</v>
      </c>
      <c r="J21" s="224">
        <v>52.2</v>
      </c>
      <c r="K21" s="225">
        <v>46.6</v>
      </c>
      <c r="L21" s="225">
        <v>55.8</v>
      </c>
      <c r="M21" s="224">
        <v>44.1</v>
      </c>
      <c r="N21" s="225">
        <v>52.1</v>
      </c>
      <c r="O21" s="225">
        <v>44.5</v>
      </c>
      <c r="P21" s="158"/>
      <c r="Q21" s="128" t="str">
        <f t="shared" si="0"/>
        <v>TS/ms</v>
      </c>
      <c r="R21" s="127">
        <f t="shared" si="1"/>
        <v>-0.5</v>
      </c>
      <c r="S21" s="127">
        <f t="shared" si="1"/>
        <v>1.2999999999999972</v>
      </c>
      <c r="T21" s="127">
        <f t="shared" si="1"/>
        <v>-2</v>
      </c>
      <c r="U21" s="127">
        <f t="shared" si="1"/>
        <v>0.3999999999999986</v>
      </c>
      <c r="V21" s="127">
        <f t="shared" si="1"/>
        <v>1.5</v>
      </c>
      <c r="W21" s="127">
        <f t="shared" si="1"/>
        <v>-0.7000000000000028</v>
      </c>
    </row>
    <row r="22" spans="1:23" ht="12.75">
      <c r="A22" s="130" t="s">
        <v>13</v>
      </c>
      <c r="B22" s="224">
        <v>17.7</v>
      </c>
      <c r="C22" s="225">
        <v>18.8</v>
      </c>
      <c r="D22" s="225">
        <v>17.7</v>
      </c>
      <c r="E22" s="224">
        <v>19</v>
      </c>
      <c r="F22" s="225">
        <v>17.8</v>
      </c>
      <c r="G22" s="225">
        <v>19.2</v>
      </c>
      <c r="H22" s="125"/>
      <c r="I22" s="130" t="s">
        <v>13</v>
      </c>
      <c r="J22" s="224">
        <v>17.8</v>
      </c>
      <c r="K22" s="225">
        <v>19</v>
      </c>
      <c r="L22" s="225">
        <v>17.6</v>
      </c>
      <c r="M22" s="224">
        <v>19.2</v>
      </c>
      <c r="N22" s="225">
        <v>18</v>
      </c>
      <c r="O22" s="225">
        <v>19.1</v>
      </c>
      <c r="P22" s="158"/>
      <c r="Q22" s="128" t="str">
        <f t="shared" si="0"/>
        <v>G/dB</v>
      </c>
      <c r="R22" s="127">
        <f t="shared" si="1"/>
        <v>-0.10000000000000142</v>
      </c>
      <c r="S22" s="127">
        <f t="shared" si="1"/>
        <v>-0.1999999999999993</v>
      </c>
      <c r="T22" s="127">
        <f t="shared" si="1"/>
        <v>0.09999999999999787</v>
      </c>
      <c r="U22" s="127">
        <f t="shared" si="1"/>
        <v>-0.1999999999999993</v>
      </c>
      <c r="V22" s="127">
        <f t="shared" si="1"/>
        <v>-0.1999999999999993</v>
      </c>
      <c r="W22" s="127">
        <f t="shared" si="1"/>
        <v>0.09999999999999787</v>
      </c>
    </row>
    <row r="23" spans="1:23" ht="12.75">
      <c r="A23" s="130" t="s">
        <v>14</v>
      </c>
      <c r="B23" s="224">
        <v>26.9</v>
      </c>
      <c r="C23" s="225">
        <v>17.2</v>
      </c>
      <c r="D23" s="225">
        <v>25.3</v>
      </c>
      <c r="E23" s="224">
        <v>23.1</v>
      </c>
      <c r="F23" s="225">
        <v>26</v>
      </c>
      <c r="G23" s="225">
        <v>24.5</v>
      </c>
      <c r="H23" s="125"/>
      <c r="I23" s="130" t="s">
        <v>14</v>
      </c>
      <c r="J23" s="224">
        <v>28.6</v>
      </c>
      <c r="K23" s="225">
        <v>19.4</v>
      </c>
      <c r="L23" s="225">
        <v>26.5</v>
      </c>
      <c r="M23" s="224">
        <v>26.8</v>
      </c>
      <c r="N23" s="225">
        <v>26.5</v>
      </c>
      <c r="O23" s="225">
        <v>22.8</v>
      </c>
      <c r="Q23" s="128" t="str">
        <f t="shared" si="0"/>
        <v>LF/%</v>
      </c>
      <c r="R23" s="127">
        <f t="shared" si="1"/>
        <v>-1.7000000000000028</v>
      </c>
      <c r="S23" s="127">
        <f t="shared" si="1"/>
        <v>-2.1999999999999993</v>
      </c>
      <c r="T23" s="127">
        <f t="shared" si="1"/>
        <v>-1.1999999999999993</v>
      </c>
      <c r="U23" s="127">
        <f t="shared" si="1"/>
        <v>-3.6999999999999993</v>
      </c>
      <c r="V23" s="127">
        <f t="shared" si="1"/>
        <v>-0.5</v>
      </c>
      <c r="W23" s="127">
        <f t="shared" si="1"/>
        <v>1.6999999999999993</v>
      </c>
    </row>
    <row r="24" spans="1:23" ht="12.75">
      <c r="A24" s="130" t="s">
        <v>15</v>
      </c>
      <c r="B24" s="224">
        <v>37.9</v>
      </c>
      <c r="C24" s="225">
        <v>28</v>
      </c>
      <c r="D24" s="225">
        <v>39</v>
      </c>
      <c r="E24" s="224">
        <v>34.4</v>
      </c>
      <c r="F24" s="225">
        <v>38.1</v>
      </c>
      <c r="G24" s="225">
        <v>35.9</v>
      </c>
      <c r="H24" s="125"/>
      <c r="I24" s="130" t="s">
        <v>15</v>
      </c>
      <c r="J24" s="224">
        <v>40.2</v>
      </c>
      <c r="K24" s="225">
        <v>30.6</v>
      </c>
      <c r="L24" s="225">
        <v>39.5</v>
      </c>
      <c r="M24" s="224">
        <v>37.7</v>
      </c>
      <c r="N24" s="225">
        <v>38</v>
      </c>
      <c r="O24" s="225">
        <v>34.1</v>
      </c>
      <c r="Q24" s="128" t="str">
        <f t="shared" si="0"/>
        <v>LFC/%</v>
      </c>
      <c r="R24" s="127">
        <f t="shared" si="1"/>
        <v>-2.3000000000000043</v>
      </c>
      <c r="S24" s="127">
        <f t="shared" si="1"/>
        <v>-2.6000000000000014</v>
      </c>
      <c r="T24" s="127">
        <f t="shared" si="1"/>
        <v>-0.5</v>
      </c>
      <c r="U24" s="127">
        <f t="shared" si="1"/>
        <v>-3.3000000000000043</v>
      </c>
      <c r="V24" s="127">
        <f t="shared" si="1"/>
        <v>0.10000000000000142</v>
      </c>
      <c r="W24" s="127">
        <f t="shared" si="1"/>
        <v>1.7999999999999972</v>
      </c>
    </row>
    <row r="25" spans="1:23" ht="12.75">
      <c r="A25" s="134" t="s">
        <v>16</v>
      </c>
      <c r="B25" s="227">
        <v>0.97</v>
      </c>
      <c r="C25" s="228">
        <v>0.92</v>
      </c>
      <c r="D25" s="228">
        <v>0.94</v>
      </c>
      <c r="E25" s="228">
        <v>0.92</v>
      </c>
      <c r="F25" s="228">
        <v>0.92</v>
      </c>
      <c r="G25" s="229">
        <v>0.86</v>
      </c>
      <c r="H25" s="225"/>
      <c r="I25" s="134" t="s">
        <v>16</v>
      </c>
      <c r="J25" s="227">
        <v>0.94</v>
      </c>
      <c r="K25" s="228">
        <v>0.9</v>
      </c>
      <c r="L25" s="228">
        <v>0.95</v>
      </c>
      <c r="M25" s="228">
        <v>0.86</v>
      </c>
      <c r="N25" s="228">
        <v>0.9</v>
      </c>
      <c r="O25" s="229">
        <v>0.84</v>
      </c>
      <c r="Q25" s="128" t="str">
        <f t="shared" si="0"/>
        <v>IACC</v>
      </c>
      <c r="R25" s="127">
        <f t="shared" si="1"/>
        <v>0.030000000000000027</v>
      </c>
      <c r="S25" s="127">
        <f t="shared" si="1"/>
        <v>0.020000000000000018</v>
      </c>
      <c r="T25" s="127">
        <f t="shared" si="1"/>
        <v>-0.010000000000000009</v>
      </c>
      <c r="U25" s="127">
        <f t="shared" si="1"/>
        <v>0.06000000000000005</v>
      </c>
      <c r="V25" s="127">
        <f t="shared" si="1"/>
        <v>0.020000000000000018</v>
      </c>
      <c r="W25" s="127">
        <f t="shared" si="1"/>
        <v>0.020000000000000018</v>
      </c>
    </row>
    <row r="26" spans="2:15" ht="12.75">
      <c r="B26" s="224"/>
      <c r="C26" s="225"/>
      <c r="D26" s="225"/>
      <c r="E26" s="224"/>
      <c r="F26" s="225"/>
      <c r="G26" s="225"/>
      <c r="H26" s="136"/>
      <c r="J26" s="224"/>
      <c r="K26" s="225"/>
      <c r="L26" s="225"/>
      <c r="M26" s="224"/>
      <c r="N26" s="225"/>
      <c r="O26" s="225"/>
    </row>
    <row r="27" spans="1:18" ht="12.75">
      <c r="A27" s="155" t="s">
        <v>17</v>
      </c>
      <c r="B27" s="156" t="s">
        <v>1</v>
      </c>
      <c r="E27" s="136"/>
      <c r="F27" s="136"/>
      <c r="G27" s="136"/>
      <c r="H27" s="136"/>
      <c r="I27" s="155" t="s">
        <v>17</v>
      </c>
      <c r="J27" s="156" t="s">
        <v>1</v>
      </c>
      <c r="M27" s="136"/>
      <c r="N27" s="136"/>
      <c r="O27" s="136"/>
      <c r="Q27" s="128" t="str">
        <f>+A27</f>
        <v>250 Hz</v>
      </c>
      <c r="R27" s="128" t="str">
        <f>+B27</f>
        <v>octave</v>
      </c>
    </row>
    <row r="28" spans="1:23" ht="12.75">
      <c r="A28" s="142"/>
      <c r="B28" s="140" t="s">
        <v>2</v>
      </c>
      <c r="C28" s="140" t="s">
        <v>3</v>
      </c>
      <c r="D28" s="139" t="s">
        <v>4</v>
      </c>
      <c r="E28" s="139" t="s">
        <v>5</v>
      </c>
      <c r="F28" s="140" t="s">
        <v>6</v>
      </c>
      <c r="G28" s="139" t="s">
        <v>7</v>
      </c>
      <c r="H28" s="141"/>
      <c r="I28" s="142"/>
      <c r="J28" s="140" t="s">
        <v>2</v>
      </c>
      <c r="K28" s="140" t="s">
        <v>3</v>
      </c>
      <c r="L28" s="139" t="s">
        <v>4</v>
      </c>
      <c r="M28" s="139" t="s">
        <v>5</v>
      </c>
      <c r="N28" s="140" t="s">
        <v>6</v>
      </c>
      <c r="O28" s="139" t="s">
        <v>7</v>
      </c>
      <c r="Q28" s="128">
        <f>+A28</f>
        <v>0</v>
      </c>
      <c r="R28" s="128" t="str">
        <f>+B28</f>
        <v>S1R1</v>
      </c>
      <c r="S28" s="128" t="str">
        <f>+C28</f>
        <v>S1R2</v>
      </c>
      <c r="T28" s="128" t="str">
        <f>+D28</f>
        <v>S1R3</v>
      </c>
      <c r="U28" s="128" t="str">
        <f>+E28</f>
        <v>S2R1</v>
      </c>
      <c r="V28" s="128" t="str">
        <f>+F28</f>
        <v>S2R2</v>
      </c>
      <c r="W28" s="128" t="str">
        <f>+G28</f>
        <v>S2R3</v>
      </c>
    </row>
    <row r="29" spans="1:23" ht="12.75">
      <c r="A29" s="130" t="s">
        <v>8</v>
      </c>
      <c r="B29" s="302">
        <v>1.06</v>
      </c>
      <c r="C29" s="302">
        <v>1.05</v>
      </c>
      <c r="D29" s="302">
        <v>1.05</v>
      </c>
      <c r="E29" s="302">
        <v>1.05</v>
      </c>
      <c r="F29" s="302">
        <v>1.05</v>
      </c>
      <c r="G29" s="302">
        <v>1.05</v>
      </c>
      <c r="H29" s="125"/>
      <c r="I29" s="130" t="s">
        <v>8</v>
      </c>
      <c r="J29" s="302">
        <v>0.85</v>
      </c>
      <c r="K29" s="302">
        <v>0.86</v>
      </c>
      <c r="L29" s="302">
        <v>0.87</v>
      </c>
      <c r="M29" s="302">
        <v>0.85</v>
      </c>
      <c r="N29" s="302">
        <v>0.86</v>
      </c>
      <c r="O29" s="302">
        <v>0.87</v>
      </c>
      <c r="Q29" s="128" t="str">
        <f aca="true" t="shared" si="2" ref="Q29:Q37">+A29</f>
        <v>T30/s</v>
      </c>
      <c r="R29" s="127">
        <f aca="true" t="shared" si="3" ref="R29:W37">+B29-J29</f>
        <v>0.21000000000000008</v>
      </c>
      <c r="S29" s="127">
        <f t="shared" si="3"/>
        <v>0.19000000000000006</v>
      </c>
      <c r="T29" s="127">
        <f t="shared" si="3"/>
        <v>0.18000000000000005</v>
      </c>
      <c r="U29" s="127">
        <f t="shared" si="3"/>
        <v>0.20000000000000007</v>
      </c>
      <c r="V29" s="127">
        <f t="shared" si="3"/>
        <v>0.19000000000000006</v>
      </c>
      <c r="W29" s="127">
        <f t="shared" si="3"/>
        <v>0.18000000000000005</v>
      </c>
    </row>
    <row r="30" spans="1:23" ht="12.75">
      <c r="A30" s="130" t="s">
        <v>9</v>
      </c>
      <c r="B30" s="224">
        <v>1.05</v>
      </c>
      <c r="C30" s="225">
        <v>1.06</v>
      </c>
      <c r="D30" s="225">
        <v>1.07</v>
      </c>
      <c r="E30" s="224">
        <v>1</v>
      </c>
      <c r="F30" s="225">
        <v>1.06</v>
      </c>
      <c r="G30" s="225">
        <v>0.98</v>
      </c>
      <c r="H30" s="125"/>
      <c r="I30" s="130" t="s">
        <v>9</v>
      </c>
      <c r="J30" s="224">
        <v>0.85</v>
      </c>
      <c r="K30" s="225">
        <v>0.87</v>
      </c>
      <c r="L30" s="225">
        <v>0.85</v>
      </c>
      <c r="M30" s="224">
        <v>0.85</v>
      </c>
      <c r="N30" s="225">
        <v>0.88</v>
      </c>
      <c r="O30" s="225">
        <v>0.82</v>
      </c>
      <c r="Q30" s="128" t="str">
        <f t="shared" si="2"/>
        <v>EDT/s</v>
      </c>
      <c r="R30" s="127">
        <f t="shared" si="3"/>
        <v>0.20000000000000007</v>
      </c>
      <c r="S30" s="127">
        <f t="shared" si="3"/>
        <v>0.19000000000000006</v>
      </c>
      <c r="T30" s="127">
        <f t="shared" si="3"/>
        <v>0.22000000000000008</v>
      </c>
      <c r="U30" s="127">
        <f t="shared" si="3"/>
        <v>0.15000000000000002</v>
      </c>
      <c r="V30" s="127">
        <f t="shared" si="3"/>
        <v>0.18000000000000005</v>
      </c>
      <c r="W30" s="127">
        <f t="shared" si="3"/>
        <v>0.16000000000000003</v>
      </c>
    </row>
    <row r="31" spans="1:23" ht="12.75">
      <c r="A31" s="130" t="s">
        <v>10</v>
      </c>
      <c r="B31" s="224">
        <v>52.9</v>
      </c>
      <c r="C31" s="225">
        <v>55.6</v>
      </c>
      <c r="D31" s="225">
        <v>51.4</v>
      </c>
      <c r="E31" s="224">
        <v>57.9</v>
      </c>
      <c r="F31" s="225">
        <v>50.4</v>
      </c>
      <c r="G31" s="225">
        <v>60.4</v>
      </c>
      <c r="H31" s="125"/>
      <c r="I31" s="130" t="s">
        <v>10</v>
      </c>
      <c r="J31" s="224">
        <v>57.7</v>
      </c>
      <c r="K31" s="225">
        <v>61.7</v>
      </c>
      <c r="L31" s="225">
        <v>58.6</v>
      </c>
      <c r="M31" s="224">
        <v>64.9</v>
      </c>
      <c r="N31" s="225">
        <v>57.1</v>
      </c>
      <c r="O31" s="225">
        <v>65.7</v>
      </c>
      <c r="Q31" s="128" t="str">
        <f t="shared" si="2"/>
        <v>D/%</v>
      </c>
      <c r="R31" s="127">
        <f t="shared" si="3"/>
        <v>-4.800000000000004</v>
      </c>
      <c r="S31" s="127">
        <f t="shared" si="3"/>
        <v>-6.100000000000001</v>
      </c>
      <c r="T31" s="127">
        <f t="shared" si="3"/>
        <v>-7.200000000000003</v>
      </c>
      <c r="U31" s="127">
        <f t="shared" si="3"/>
        <v>-7.000000000000007</v>
      </c>
      <c r="V31" s="127">
        <f t="shared" si="3"/>
        <v>-6.700000000000003</v>
      </c>
      <c r="W31" s="127">
        <f t="shared" si="3"/>
        <v>-5.300000000000004</v>
      </c>
    </row>
    <row r="32" spans="1:23" ht="12.75">
      <c r="A32" s="130" t="s">
        <v>11</v>
      </c>
      <c r="B32" s="224">
        <v>3.4</v>
      </c>
      <c r="C32" s="225">
        <v>3.5</v>
      </c>
      <c r="D32" s="225">
        <v>2.7</v>
      </c>
      <c r="E32" s="224">
        <v>4.3</v>
      </c>
      <c r="F32" s="225">
        <v>3</v>
      </c>
      <c r="G32" s="225">
        <v>4.6</v>
      </c>
      <c r="H32" s="125"/>
      <c r="I32" s="130" t="s">
        <v>11</v>
      </c>
      <c r="J32" s="224">
        <v>4.6</v>
      </c>
      <c r="K32" s="225">
        <v>5.1</v>
      </c>
      <c r="L32" s="225">
        <v>4.5</v>
      </c>
      <c r="M32" s="224">
        <v>5.7</v>
      </c>
      <c r="N32" s="225">
        <v>4.5</v>
      </c>
      <c r="O32" s="225">
        <v>5.7</v>
      </c>
      <c r="Q32" s="128" t="str">
        <f t="shared" si="2"/>
        <v>C/dB</v>
      </c>
      <c r="R32" s="127">
        <f t="shared" si="3"/>
        <v>-1.1999999999999997</v>
      </c>
      <c r="S32" s="127">
        <f t="shared" si="3"/>
        <v>-1.5999999999999996</v>
      </c>
      <c r="T32" s="127">
        <f t="shared" si="3"/>
        <v>-1.7999999999999998</v>
      </c>
      <c r="U32" s="127">
        <f t="shared" si="3"/>
        <v>-1.4000000000000004</v>
      </c>
      <c r="V32" s="127">
        <f t="shared" si="3"/>
        <v>-1.5</v>
      </c>
      <c r="W32" s="127">
        <f t="shared" si="3"/>
        <v>-1.1000000000000005</v>
      </c>
    </row>
    <row r="33" spans="1:23" ht="12.75">
      <c r="A33" s="130" t="s">
        <v>12</v>
      </c>
      <c r="B33" s="224">
        <v>68.9</v>
      </c>
      <c r="C33" s="225">
        <v>65.9</v>
      </c>
      <c r="D33" s="225">
        <v>73.5</v>
      </c>
      <c r="E33" s="224">
        <v>61.9</v>
      </c>
      <c r="F33" s="225">
        <v>72.4</v>
      </c>
      <c r="G33" s="225">
        <v>60.3</v>
      </c>
      <c r="H33" s="125"/>
      <c r="I33" s="130" t="s">
        <v>12</v>
      </c>
      <c r="J33" s="224">
        <v>57.9</v>
      </c>
      <c r="K33" s="225">
        <v>52.5</v>
      </c>
      <c r="L33" s="225">
        <v>59.1</v>
      </c>
      <c r="M33" s="224">
        <v>49.7</v>
      </c>
      <c r="N33" s="225">
        <v>59.1</v>
      </c>
      <c r="O33" s="225">
        <v>50</v>
      </c>
      <c r="Q33" s="128" t="str">
        <f t="shared" si="2"/>
        <v>TS/ms</v>
      </c>
      <c r="R33" s="127">
        <f t="shared" si="3"/>
        <v>11.000000000000007</v>
      </c>
      <c r="S33" s="127">
        <f t="shared" si="3"/>
        <v>13.400000000000006</v>
      </c>
      <c r="T33" s="127">
        <f t="shared" si="3"/>
        <v>14.399999999999999</v>
      </c>
      <c r="U33" s="127">
        <f t="shared" si="3"/>
        <v>12.199999999999996</v>
      </c>
      <c r="V33" s="127">
        <f t="shared" si="3"/>
        <v>13.300000000000004</v>
      </c>
      <c r="W33" s="127">
        <f t="shared" si="3"/>
        <v>10.299999999999997</v>
      </c>
    </row>
    <row r="34" spans="1:23" ht="12.75">
      <c r="A34" s="130" t="s">
        <v>13</v>
      </c>
      <c r="B34" s="224">
        <v>19</v>
      </c>
      <c r="C34" s="225">
        <v>19.9</v>
      </c>
      <c r="D34" s="225">
        <v>18.8</v>
      </c>
      <c r="E34" s="224">
        <v>20.1</v>
      </c>
      <c r="F34" s="225">
        <v>19</v>
      </c>
      <c r="G34" s="225">
        <v>20.5</v>
      </c>
      <c r="H34" s="125"/>
      <c r="I34" s="130" t="s">
        <v>13</v>
      </c>
      <c r="J34" s="224">
        <v>18.2</v>
      </c>
      <c r="K34" s="225">
        <v>19.3</v>
      </c>
      <c r="L34" s="225">
        <v>18.3</v>
      </c>
      <c r="M34" s="224">
        <v>19.3</v>
      </c>
      <c r="N34" s="225">
        <v>18.5</v>
      </c>
      <c r="O34" s="225">
        <v>19.7</v>
      </c>
      <c r="Q34" s="128" t="str">
        <f t="shared" si="2"/>
        <v>G/dB</v>
      </c>
      <c r="R34" s="127">
        <f t="shared" si="3"/>
        <v>0.8000000000000007</v>
      </c>
      <c r="S34" s="127">
        <f t="shared" si="3"/>
        <v>0.5999999999999979</v>
      </c>
      <c r="T34" s="127">
        <f t="shared" si="3"/>
        <v>0.5</v>
      </c>
      <c r="U34" s="127">
        <f t="shared" si="3"/>
        <v>0.8000000000000007</v>
      </c>
      <c r="V34" s="127">
        <f t="shared" si="3"/>
        <v>0.5</v>
      </c>
      <c r="W34" s="127">
        <f t="shared" si="3"/>
        <v>0.8000000000000007</v>
      </c>
    </row>
    <row r="35" spans="1:23" ht="12.75">
      <c r="A35" s="130" t="s">
        <v>14</v>
      </c>
      <c r="B35" s="224">
        <v>28.6</v>
      </c>
      <c r="C35" s="225">
        <v>19.8</v>
      </c>
      <c r="D35" s="225">
        <v>24.9</v>
      </c>
      <c r="E35" s="224">
        <v>26.3</v>
      </c>
      <c r="F35" s="225">
        <v>28</v>
      </c>
      <c r="G35" s="225">
        <v>26</v>
      </c>
      <c r="H35" s="125"/>
      <c r="I35" s="130" t="s">
        <v>14</v>
      </c>
      <c r="J35" s="224">
        <v>27.2</v>
      </c>
      <c r="K35" s="225">
        <v>20.1</v>
      </c>
      <c r="L35" s="225">
        <v>26.4</v>
      </c>
      <c r="M35" s="224">
        <v>23.5</v>
      </c>
      <c r="N35" s="225">
        <v>28.3</v>
      </c>
      <c r="O35" s="225">
        <v>24.8</v>
      </c>
      <c r="Q35" s="128" t="str">
        <f t="shared" si="2"/>
        <v>LF/%</v>
      </c>
      <c r="R35" s="127">
        <f t="shared" si="3"/>
        <v>1.4000000000000021</v>
      </c>
      <c r="S35" s="127">
        <f t="shared" si="3"/>
        <v>-0.3000000000000007</v>
      </c>
      <c r="T35" s="127">
        <f t="shared" si="3"/>
        <v>-1.5</v>
      </c>
      <c r="U35" s="127">
        <f t="shared" si="3"/>
        <v>2.8000000000000007</v>
      </c>
      <c r="V35" s="127">
        <f t="shared" si="3"/>
        <v>-0.3000000000000007</v>
      </c>
      <c r="W35" s="127">
        <f t="shared" si="3"/>
        <v>1.1999999999999993</v>
      </c>
    </row>
    <row r="36" spans="1:23" ht="12.75">
      <c r="A36" s="130" t="s">
        <v>15</v>
      </c>
      <c r="B36" s="224">
        <v>41</v>
      </c>
      <c r="C36" s="225">
        <v>31.1</v>
      </c>
      <c r="D36" s="225">
        <v>38.6</v>
      </c>
      <c r="E36" s="224">
        <v>38.1</v>
      </c>
      <c r="F36" s="225">
        <v>40.4</v>
      </c>
      <c r="G36" s="225">
        <v>37.9</v>
      </c>
      <c r="H36" s="125"/>
      <c r="I36" s="130" t="s">
        <v>15</v>
      </c>
      <c r="J36" s="224">
        <v>39</v>
      </c>
      <c r="K36" s="225">
        <v>31.2</v>
      </c>
      <c r="L36" s="225">
        <v>40.4</v>
      </c>
      <c r="M36" s="224">
        <v>35</v>
      </c>
      <c r="N36" s="225">
        <v>40.2</v>
      </c>
      <c r="O36" s="225">
        <v>36.7</v>
      </c>
      <c r="Q36" s="128" t="str">
        <f t="shared" si="2"/>
        <v>LFC/%</v>
      </c>
      <c r="R36" s="127">
        <f t="shared" si="3"/>
        <v>2</v>
      </c>
      <c r="S36" s="127">
        <f t="shared" si="3"/>
        <v>-0.09999999999999787</v>
      </c>
      <c r="T36" s="127">
        <f t="shared" si="3"/>
        <v>-1.7999999999999972</v>
      </c>
      <c r="U36" s="127">
        <f t="shared" si="3"/>
        <v>3.1000000000000014</v>
      </c>
      <c r="V36" s="127">
        <f t="shared" si="3"/>
        <v>0.19999999999999574</v>
      </c>
      <c r="W36" s="127">
        <f t="shared" si="3"/>
        <v>1.1999999999999957</v>
      </c>
    </row>
    <row r="37" spans="1:23" ht="12.75">
      <c r="A37" s="134" t="s">
        <v>16</v>
      </c>
      <c r="B37" s="303">
        <v>0.74</v>
      </c>
      <c r="C37" s="304">
        <v>0.77</v>
      </c>
      <c r="D37" s="304">
        <v>0.88</v>
      </c>
      <c r="E37" s="304">
        <v>0.84</v>
      </c>
      <c r="F37" s="304">
        <v>0.74</v>
      </c>
      <c r="G37" s="305">
        <v>0.85</v>
      </c>
      <c r="H37" s="306"/>
      <c r="I37" s="134" t="s">
        <v>16</v>
      </c>
      <c r="J37" s="303">
        <v>0.74</v>
      </c>
      <c r="K37" s="304">
        <v>0.73</v>
      </c>
      <c r="L37" s="304">
        <v>0.82</v>
      </c>
      <c r="M37" s="304">
        <v>0.75</v>
      </c>
      <c r="N37" s="304">
        <v>0.78</v>
      </c>
      <c r="O37" s="305">
        <v>0.81</v>
      </c>
      <c r="Q37" s="128" t="str">
        <f t="shared" si="2"/>
        <v>IACC</v>
      </c>
      <c r="R37" s="127">
        <f t="shared" si="3"/>
        <v>0</v>
      </c>
      <c r="S37" s="127">
        <f t="shared" si="3"/>
        <v>0.040000000000000036</v>
      </c>
      <c r="T37" s="127">
        <f t="shared" si="3"/>
        <v>0.06000000000000005</v>
      </c>
      <c r="U37" s="127">
        <f t="shared" si="3"/>
        <v>0.08999999999999997</v>
      </c>
      <c r="V37" s="127">
        <f t="shared" si="3"/>
        <v>-0.040000000000000036</v>
      </c>
      <c r="W37" s="127">
        <f t="shared" si="3"/>
        <v>0.039999999999999925</v>
      </c>
    </row>
    <row r="38" spans="2:15" ht="12.75">
      <c r="B38" s="224"/>
      <c r="C38" s="225"/>
      <c r="D38" s="225"/>
      <c r="E38" s="224"/>
      <c r="F38" s="225"/>
      <c r="G38" s="225"/>
      <c r="H38" s="136"/>
      <c r="J38" s="224"/>
      <c r="K38" s="225"/>
      <c r="L38" s="225"/>
      <c r="M38" s="224"/>
      <c r="N38" s="225"/>
      <c r="O38" s="225"/>
    </row>
    <row r="39" spans="1:18" ht="12.75">
      <c r="A39" s="155" t="s">
        <v>18</v>
      </c>
      <c r="B39" s="156" t="s">
        <v>1</v>
      </c>
      <c r="E39" s="136"/>
      <c r="F39" s="136"/>
      <c r="G39" s="136"/>
      <c r="H39" s="136"/>
      <c r="I39" s="155" t="s">
        <v>18</v>
      </c>
      <c r="J39" s="156" t="s">
        <v>1</v>
      </c>
      <c r="M39" s="136"/>
      <c r="N39" s="136"/>
      <c r="O39" s="136"/>
      <c r="Q39" s="128" t="str">
        <f>+A39</f>
        <v>500 Hz</v>
      </c>
      <c r="R39" s="128" t="str">
        <f>+B39</f>
        <v>octave</v>
      </c>
    </row>
    <row r="40" spans="1:23" ht="12.75">
      <c r="A40" s="142"/>
      <c r="B40" s="140" t="s">
        <v>2</v>
      </c>
      <c r="C40" s="140" t="s">
        <v>3</v>
      </c>
      <c r="D40" s="139" t="s">
        <v>4</v>
      </c>
      <c r="E40" s="139" t="s">
        <v>5</v>
      </c>
      <c r="F40" s="140" t="s">
        <v>6</v>
      </c>
      <c r="G40" s="139" t="s">
        <v>7</v>
      </c>
      <c r="H40" s="141"/>
      <c r="I40" s="142"/>
      <c r="J40" s="140" t="s">
        <v>2</v>
      </c>
      <c r="K40" s="140" t="s">
        <v>3</v>
      </c>
      <c r="L40" s="139" t="s">
        <v>4</v>
      </c>
      <c r="M40" s="139" t="s">
        <v>5</v>
      </c>
      <c r="N40" s="140" t="s">
        <v>6</v>
      </c>
      <c r="O40" s="139" t="s">
        <v>7</v>
      </c>
      <c r="Q40" s="128">
        <f>+A40</f>
        <v>0</v>
      </c>
      <c r="R40" s="128" t="str">
        <f>+B40</f>
        <v>S1R1</v>
      </c>
      <c r="S40" s="128" t="str">
        <f>+C40</f>
        <v>S1R2</v>
      </c>
      <c r="T40" s="128" t="str">
        <f>+D40</f>
        <v>S1R3</v>
      </c>
      <c r="U40" s="128" t="str">
        <f>+E40</f>
        <v>S2R1</v>
      </c>
      <c r="V40" s="128" t="str">
        <f>+F40</f>
        <v>S2R2</v>
      </c>
      <c r="W40" s="128" t="str">
        <f>+G40</f>
        <v>S2R3</v>
      </c>
    </row>
    <row r="41" spans="1:23" ht="12.75">
      <c r="A41" s="130" t="s">
        <v>8</v>
      </c>
      <c r="B41" s="302">
        <v>1.07</v>
      </c>
      <c r="C41" s="302">
        <v>1.06</v>
      </c>
      <c r="D41" s="302">
        <v>1.07</v>
      </c>
      <c r="E41" s="302">
        <v>1.06</v>
      </c>
      <c r="F41" s="302">
        <v>1.06</v>
      </c>
      <c r="G41" s="302">
        <v>1.06</v>
      </c>
      <c r="H41" s="125"/>
      <c r="I41" s="130" t="s">
        <v>8</v>
      </c>
      <c r="J41" s="302">
        <v>0.85</v>
      </c>
      <c r="K41" s="302">
        <v>0.86</v>
      </c>
      <c r="L41" s="302">
        <v>0.87</v>
      </c>
      <c r="M41" s="302">
        <v>0.85</v>
      </c>
      <c r="N41" s="302">
        <v>0.87</v>
      </c>
      <c r="O41" s="302">
        <v>0.87</v>
      </c>
      <c r="Q41" s="128" t="str">
        <f aca="true" t="shared" si="4" ref="Q41:Q49">+A41</f>
        <v>T30/s</v>
      </c>
      <c r="R41" s="127">
        <f aca="true" t="shared" si="5" ref="R41:W49">+B41-J41</f>
        <v>0.22000000000000008</v>
      </c>
      <c r="S41" s="127">
        <f t="shared" si="5"/>
        <v>0.20000000000000007</v>
      </c>
      <c r="T41" s="127">
        <f t="shared" si="5"/>
        <v>0.20000000000000007</v>
      </c>
      <c r="U41" s="127">
        <f t="shared" si="5"/>
        <v>0.21000000000000008</v>
      </c>
      <c r="V41" s="127">
        <f t="shared" si="5"/>
        <v>0.19000000000000006</v>
      </c>
      <c r="W41" s="127">
        <f t="shared" si="5"/>
        <v>0.19000000000000006</v>
      </c>
    </row>
    <row r="42" spans="1:23" ht="12.75">
      <c r="A42" s="130" t="s">
        <v>9</v>
      </c>
      <c r="B42" s="224">
        <v>1.07</v>
      </c>
      <c r="C42" s="225">
        <v>1.03</v>
      </c>
      <c r="D42" s="225">
        <v>1.07</v>
      </c>
      <c r="E42" s="224">
        <v>1.05</v>
      </c>
      <c r="F42" s="225">
        <v>1.06</v>
      </c>
      <c r="G42" s="225">
        <v>1.04</v>
      </c>
      <c r="H42" s="125"/>
      <c r="I42" s="130" t="s">
        <v>9</v>
      </c>
      <c r="J42" s="224">
        <v>0.87</v>
      </c>
      <c r="K42" s="225">
        <v>0.84</v>
      </c>
      <c r="L42" s="225">
        <v>0.87</v>
      </c>
      <c r="M42" s="224">
        <v>0.87</v>
      </c>
      <c r="N42" s="225">
        <v>0.86</v>
      </c>
      <c r="O42" s="225">
        <v>0.86</v>
      </c>
      <c r="Q42" s="128" t="str">
        <f t="shared" si="4"/>
        <v>EDT/s</v>
      </c>
      <c r="R42" s="127">
        <f t="shared" si="5"/>
        <v>0.20000000000000007</v>
      </c>
      <c r="S42" s="127">
        <f t="shared" si="5"/>
        <v>0.19000000000000006</v>
      </c>
      <c r="T42" s="127">
        <f t="shared" si="5"/>
        <v>0.20000000000000007</v>
      </c>
      <c r="U42" s="127">
        <f t="shared" si="5"/>
        <v>0.18000000000000005</v>
      </c>
      <c r="V42" s="127">
        <f t="shared" si="5"/>
        <v>0.20000000000000007</v>
      </c>
      <c r="W42" s="127">
        <f t="shared" si="5"/>
        <v>0.18000000000000005</v>
      </c>
    </row>
    <row r="43" spans="1:23" ht="12.75">
      <c r="A43" s="130" t="s">
        <v>10</v>
      </c>
      <c r="B43" s="224">
        <v>50.7</v>
      </c>
      <c r="C43" s="225">
        <v>56.5</v>
      </c>
      <c r="D43" s="225">
        <v>50.8</v>
      </c>
      <c r="E43" s="224">
        <v>56.9</v>
      </c>
      <c r="F43" s="225">
        <v>51.2</v>
      </c>
      <c r="G43" s="225">
        <v>58.7</v>
      </c>
      <c r="H43" s="125"/>
      <c r="I43" s="130" t="s">
        <v>10</v>
      </c>
      <c r="J43" s="224">
        <v>56.3</v>
      </c>
      <c r="K43" s="225">
        <v>64.6</v>
      </c>
      <c r="L43" s="225">
        <v>56.2</v>
      </c>
      <c r="M43" s="224">
        <v>61.5</v>
      </c>
      <c r="N43" s="225">
        <v>59</v>
      </c>
      <c r="O43" s="225">
        <v>64.5</v>
      </c>
      <c r="Q43" s="128" t="str">
        <f t="shared" si="4"/>
        <v>D/%</v>
      </c>
      <c r="R43" s="127">
        <f t="shared" si="5"/>
        <v>-5.599999999999994</v>
      </c>
      <c r="S43" s="127">
        <f t="shared" si="5"/>
        <v>-8.099999999999994</v>
      </c>
      <c r="T43" s="127">
        <f t="shared" si="5"/>
        <v>-5.400000000000006</v>
      </c>
      <c r="U43" s="127">
        <f t="shared" si="5"/>
        <v>-4.600000000000001</v>
      </c>
      <c r="V43" s="127">
        <f t="shared" si="5"/>
        <v>-7.799999999999997</v>
      </c>
      <c r="W43" s="127">
        <f t="shared" si="5"/>
        <v>-5.799999999999997</v>
      </c>
    </row>
    <row r="44" spans="1:23" ht="12.75">
      <c r="A44" s="130" t="s">
        <v>11</v>
      </c>
      <c r="B44" s="224">
        <v>3.1</v>
      </c>
      <c r="C44" s="225">
        <v>3.8</v>
      </c>
      <c r="D44" s="225">
        <v>2.8</v>
      </c>
      <c r="E44" s="224">
        <v>4</v>
      </c>
      <c r="F44" s="225">
        <v>2.9</v>
      </c>
      <c r="G44" s="225">
        <v>4</v>
      </c>
      <c r="H44" s="125"/>
      <c r="I44" s="130" t="s">
        <v>11</v>
      </c>
      <c r="J44" s="224">
        <v>4.4</v>
      </c>
      <c r="K44" s="225">
        <v>5.4</v>
      </c>
      <c r="L44" s="225">
        <v>4.3</v>
      </c>
      <c r="M44" s="224">
        <v>5.2</v>
      </c>
      <c r="N44" s="225">
        <v>4.6</v>
      </c>
      <c r="O44" s="225">
        <v>5.3</v>
      </c>
      <c r="Q44" s="128" t="str">
        <f t="shared" si="4"/>
        <v>C/dB</v>
      </c>
      <c r="R44" s="127">
        <f t="shared" si="5"/>
        <v>-1.3000000000000003</v>
      </c>
      <c r="S44" s="127">
        <f t="shared" si="5"/>
        <v>-1.6000000000000005</v>
      </c>
      <c r="T44" s="127">
        <f t="shared" si="5"/>
        <v>-1.5</v>
      </c>
      <c r="U44" s="127">
        <f t="shared" si="5"/>
        <v>-1.2000000000000002</v>
      </c>
      <c r="V44" s="127">
        <f t="shared" si="5"/>
        <v>-1.6999999999999997</v>
      </c>
      <c r="W44" s="127">
        <f t="shared" si="5"/>
        <v>-1.2999999999999998</v>
      </c>
    </row>
    <row r="45" spans="1:23" ht="12.75">
      <c r="A45" s="130" t="s">
        <v>12</v>
      </c>
      <c r="B45" s="224">
        <v>72.3</v>
      </c>
      <c r="C45" s="225">
        <v>64.2</v>
      </c>
      <c r="D45" s="225">
        <v>74.3</v>
      </c>
      <c r="E45" s="224">
        <v>63.1</v>
      </c>
      <c r="F45" s="225">
        <v>72.9</v>
      </c>
      <c r="G45" s="225">
        <v>63.2</v>
      </c>
      <c r="H45" s="125"/>
      <c r="I45" s="130" t="s">
        <v>12</v>
      </c>
      <c r="J45" s="224">
        <v>59</v>
      </c>
      <c r="K45" s="225">
        <v>51.6</v>
      </c>
      <c r="L45" s="225">
        <v>60.7</v>
      </c>
      <c r="M45" s="224">
        <v>52</v>
      </c>
      <c r="N45" s="225">
        <v>57.6</v>
      </c>
      <c r="O45" s="225">
        <v>51.8</v>
      </c>
      <c r="Q45" s="128" t="str">
        <f t="shared" si="4"/>
        <v>TS/ms</v>
      </c>
      <c r="R45" s="127">
        <f t="shared" si="5"/>
        <v>13.299999999999997</v>
      </c>
      <c r="S45" s="127">
        <f t="shared" si="5"/>
        <v>12.600000000000001</v>
      </c>
      <c r="T45" s="127">
        <f t="shared" si="5"/>
        <v>13.599999999999994</v>
      </c>
      <c r="U45" s="127">
        <f t="shared" si="5"/>
        <v>11.100000000000001</v>
      </c>
      <c r="V45" s="127">
        <f t="shared" si="5"/>
        <v>15.300000000000004</v>
      </c>
      <c r="W45" s="127">
        <f t="shared" si="5"/>
        <v>11.400000000000006</v>
      </c>
    </row>
    <row r="46" spans="1:23" ht="12.75">
      <c r="A46" s="130" t="s">
        <v>13</v>
      </c>
      <c r="B46" s="224">
        <v>19</v>
      </c>
      <c r="C46" s="225">
        <v>20.4</v>
      </c>
      <c r="D46" s="225">
        <v>19</v>
      </c>
      <c r="E46" s="224">
        <v>19.8</v>
      </c>
      <c r="F46" s="225">
        <v>19.1</v>
      </c>
      <c r="G46" s="225">
        <v>20.2</v>
      </c>
      <c r="H46" s="125"/>
      <c r="I46" s="130" t="s">
        <v>13</v>
      </c>
      <c r="J46" s="224">
        <v>18.3</v>
      </c>
      <c r="K46" s="225">
        <v>19.7</v>
      </c>
      <c r="L46" s="225">
        <v>18.4</v>
      </c>
      <c r="M46" s="224">
        <v>19.1</v>
      </c>
      <c r="N46" s="225">
        <v>18.8</v>
      </c>
      <c r="O46" s="225">
        <v>19.5</v>
      </c>
      <c r="Q46" s="128" t="str">
        <f t="shared" si="4"/>
        <v>G/dB</v>
      </c>
      <c r="R46" s="127">
        <f t="shared" si="5"/>
        <v>0.6999999999999993</v>
      </c>
      <c r="S46" s="127">
        <f t="shared" si="5"/>
        <v>0.6999999999999993</v>
      </c>
      <c r="T46" s="127">
        <f t="shared" si="5"/>
        <v>0.6000000000000014</v>
      </c>
      <c r="U46" s="127">
        <f t="shared" si="5"/>
        <v>0.6999999999999993</v>
      </c>
      <c r="V46" s="127">
        <f t="shared" si="5"/>
        <v>0.3000000000000007</v>
      </c>
      <c r="W46" s="127">
        <f t="shared" si="5"/>
        <v>0.6999999999999993</v>
      </c>
    </row>
    <row r="47" spans="1:23" ht="12.75">
      <c r="A47" s="130" t="s">
        <v>14</v>
      </c>
      <c r="B47" s="224">
        <v>28.3</v>
      </c>
      <c r="C47" s="225">
        <v>22.3</v>
      </c>
      <c r="D47" s="225">
        <v>24.9</v>
      </c>
      <c r="E47" s="224">
        <v>25.4</v>
      </c>
      <c r="F47" s="225">
        <v>25.4</v>
      </c>
      <c r="G47" s="225">
        <v>24.1</v>
      </c>
      <c r="H47" s="125"/>
      <c r="I47" s="130" t="s">
        <v>14</v>
      </c>
      <c r="J47" s="224">
        <v>29.1</v>
      </c>
      <c r="K47" s="225">
        <v>20.1</v>
      </c>
      <c r="L47" s="225">
        <v>27.2</v>
      </c>
      <c r="M47" s="224">
        <v>22.1</v>
      </c>
      <c r="N47" s="225">
        <v>28.3</v>
      </c>
      <c r="O47" s="225">
        <v>22.9</v>
      </c>
      <c r="Q47" s="128" t="str">
        <f t="shared" si="4"/>
        <v>LF/%</v>
      </c>
      <c r="R47" s="127">
        <f t="shared" si="5"/>
        <v>-0.8000000000000007</v>
      </c>
      <c r="S47" s="127">
        <f t="shared" si="5"/>
        <v>2.1999999999999993</v>
      </c>
      <c r="T47" s="127">
        <f t="shared" si="5"/>
        <v>-2.3000000000000007</v>
      </c>
      <c r="U47" s="127">
        <f t="shared" si="5"/>
        <v>3.299999999999997</v>
      </c>
      <c r="V47" s="127">
        <f t="shared" si="5"/>
        <v>-2.900000000000002</v>
      </c>
      <c r="W47" s="127">
        <f t="shared" si="5"/>
        <v>1.2000000000000028</v>
      </c>
    </row>
    <row r="48" spans="1:23" ht="12.75">
      <c r="A48" s="130" t="s">
        <v>15</v>
      </c>
      <c r="B48" s="224">
        <v>40.4</v>
      </c>
      <c r="C48" s="225">
        <v>34.3</v>
      </c>
      <c r="D48" s="225">
        <v>39.5</v>
      </c>
      <c r="E48" s="224">
        <v>36.6</v>
      </c>
      <c r="F48" s="225">
        <v>37.8</v>
      </c>
      <c r="G48" s="225">
        <v>35.5</v>
      </c>
      <c r="H48" s="125"/>
      <c r="I48" s="130" t="s">
        <v>15</v>
      </c>
      <c r="J48" s="224">
        <v>41.1</v>
      </c>
      <c r="K48" s="225">
        <v>31.2</v>
      </c>
      <c r="L48" s="225">
        <v>41.2</v>
      </c>
      <c r="M48" s="224">
        <v>33</v>
      </c>
      <c r="N48" s="225">
        <v>41</v>
      </c>
      <c r="O48" s="225">
        <v>34.3</v>
      </c>
      <c r="Q48" s="128" t="str">
        <f t="shared" si="4"/>
        <v>LFC/%</v>
      </c>
      <c r="R48" s="127">
        <f t="shared" si="5"/>
        <v>-0.7000000000000028</v>
      </c>
      <c r="S48" s="127">
        <f t="shared" si="5"/>
        <v>3.099999999999998</v>
      </c>
      <c r="T48" s="127">
        <f t="shared" si="5"/>
        <v>-1.7000000000000028</v>
      </c>
      <c r="U48" s="127">
        <f t="shared" si="5"/>
        <v>3.6000000000000014</v>
      </c>
      <c r="V48" s="127">
        <f t="shared" si="5"/>
        <v>-3.200000000000003</v>
      </c>
      <c r="W48" s="127">
        <f t="shared" si="5"/>
        <v>1.2000000000000028</v>
      </c>
    </row>
    <row r="49" spans="1:23" ht="12.75">
      <c r="A49" s="134" t="s">
        <v>16</v>
      </c>
      <c r="B49" s="303">
        <v>0.63</v>
      </c>
      <c r="C49" s="304">
        <v>0.37</v>
      </c>
      <c r="D49" s="304">
        <v>0.38</v>
      </c>
      <c r="E49" s="304">
        <v>0.39</v>
      </c>
      <c r="F49" s="304">
        <v>0.55</v>
      </c>
      <c r="G49" s="305">
        <v>0.25</v>
      </c>
      <c r="H49" s="306"/>
      <c r="I49" s="134" t="s">
        <v>16</v>
      </c>
      <c r="J49" s="303">
        <v>0.41</v>
      </c>
      <c r="K49" s="304">
        <v>0.42</v>
      </c>
      <c r="L49" s="304">
        <v>0.36</v>
      </c>
      <c r="M49" s="304">
        <v>0.47</v>
      </c>
      <c r="N49" s="304">
        <v>0.38</v>
      </c>
      <c r="O49" s="305">
        <v>0.26</v>
      </c>
      <c r="Q49" s="128" t="str">
        <f t="shared" si="4"/>
        <v>IACC</v>
      </c>
      <c r="R49" s="127">
        <f t="shared" si="5"/>
        <v>0.22000000000000003</v>
      </c>
      <c r="S49" s="127">
        <f t="shared" si="5"/>
        <v>-0.04999999999999999</v>
      </c>
      <c r="T49" s="127">
        <f t="shared" si="5"/>
        <v>0.020000000000000018</v>
      </c>
      <c r="U49" s="127">
        <f t="shared" si="5"/>
        <v>-0.07999999999999996</v>
      </c>
      <c r="V49" s="127">
        <f t="shared" si="5"/>
        <v>0.17000000000000004</v>
      </c>
      <c r="W49" s="127">
        <f t="shared" si="5"/>
        <v>-0.010000000000000009</v>
      </c>
    </row>
    <row r="50" spans="2:23" ht="12.75">
      <c r="B50" s="224"/>
      <c r="C50" s="225"/>
      <c r="D50" s="225"/>
      <c r="E50" s="224"/>
      <c r="F50" s="225"/>
      <c r="G50" s="225"/>
      <c r="H50" s="136"/>
      <c r="J50" s="224"/>
      <c r="K50" s="225"/>
      <c r="L50" s="225"/>
      <c r="M50" s="224"/>
      <c r="N50" s="225"/>
      <c r="O50" s="225"/>
      <c r="R50" s="127"/>
      <c r="S50" s="127"/>
      <c r="T50" s="127"/>
      <c r="U50" s="127"/>
      <c r="V50" s="127"/>
      <c r="W50" s="127"/>
    </row>
    <row r="51" spans="1:18" ht="12.75">
      <c r="A51" s="155" t="s">
        <v>19</v>
      </c>
      <c r="B51" s="156" t="s">
        <v>1</v>
      </c>
      <c r="E51" s="136"/>
      <c r="F51" s="136"/>
      <c r="G51" s="136"/>
      <c r="H51" s="136"/>
      <c r="I51" s="155" t="s">
        <v>19</v>
      </c>
      <c r="J51" s="156" t="s">
        <v>1</v>
      </c>
      <c r="M51" s="136"/>
      <c r="N51" s="136"/>
      <c r="O51" s="136"/>
      <c r="Q51" s="128" t="str">
        <f>+A51</f>
        <v>1000 Hz</v>
      </c>
      <c r="R51" s="128" t="str">
        <f>+B51</f>
        <v>octave</v>
      </c>
    </row>
    <row r="52" spans="1:23" ht="12.75">
      <c r="A52" s="142"/>
      <c r="B52" s="140" t="s">
        <v>2</v>
      </c>
      <c r="C52" s="140" t="s">
        <v>3</v>
      </c>
      <c r="D52" s="139" t="s">
        <v>4</v>
      </c>
      <c r="E52" s="139" t="s">
        <v>5</v>
      </c>
      <c r="F52" s="140" t="s">
        <v>6</v>
      </c>
      <c r="G52" s="139" t="s">
        <v>7</v>
      </c>
      <c r="H52" s="141">
        <v>1</v>
      </c>
      <c r="I52" s="142"/>
      <c r="J52" s="140" t="s">
        <v>2</v>
      </c>
      <c r="K52" s="140" t="s">
        <v>3</v>
      </c>
      <c r="L52" s="139" t="s">
        <v>4</v>
      </c>
      <c r="M52" s="139" t="s">
        <v>5</v>
      </c>
      <c r="N52" s="140" t="s">
        <v>6</v>
      </c>
      <c r="O52" s="139" t="s">
        <v>7</v>
      </c>
      <c r="Q52" s="128">
        <f>+A52</f>
        <v>0</v>
      </c>
      <c r="R52" s="128" t="str">
        <f>+B52</f>
        <v>S1R1</v>
      </c>
      <c r="S52" s="128" t="str">
        <f>+C52</f>
        <v>S1R2</v>
      </c>
      <c r="T52" s="128" t="str">
        <f>+D52</f>
        <v>S1R3</v>
      </c>
      <c r="U52" s="128" t="str">
        <f>+E52</f>
        <v>S2R1</v>
      </c>
      <c r="V52" s="128" t="str">
        <f>+F52</f>
        <v>S2R2</v>
      </c>
      <c r="W52" s="128" t="str">
        <f>+G52</f>
        <v>S2R3</v>
      </c>
    </row>
    <row r="53" spans="1:23" ht="12.75">
      <c r="A53" s="130" t="s">
        <v>8</v>
      </c>
      <c r="B53" s="302">
        <v>0.96</v>
      </c>
      <c r="C53" s="302">
        <v>0.95</v>
      </c>
      <c r="D53" s="302">
        <v>0.96</v>
      </c>
      <c r="E53" s="302">
        <v>0.96</v>
      </c>
      <c r="F53" s="302">
        <v>0.96</v>
      </c>
      <c r="G53" s="302">
        <v>0.97</v>
      </c>
      <c r="H53" s="125"/>
      <c r="I53" s="130" t="s">
        <v>8</v>
      </c>
      <c r="J53" s="302">
        <v>0.75</v>
      </c>
      <c r="K53" s="302">
        <v>0.77</v>
      </c>
      <c r="L53" s="302">
        <v>0.77</v>
      </c>
      <c r="M53" s="302">
        <v>0.75</v>
      </c>
      <c r="N53" s="302">
        <v>0.76</v>
      </c>
      <c r="O53" s="302">
        <v>0.76</v>
      </c>
      <c r="Q53" s="128" t="str">
        <f aca="true" t="shared" si="6" ref="Q53:Q61">+A53</f>
        <v>T30/s</v>
      </c>
      <c r="R53" s="127">
        <f aca="true" t="shared" si="7" ref="R53:W61">+B53-J53</f>
        <v>0.20999999999999996</v>
      </c>
      <c r="S53" s="127">
        <f t="shared" si="7"/>
        <v>0.17999999999999994</v>
      </c>
      <c r="T53" s="127">
        <f t="shared" si="7"/>
        <v>0.18999999999999995</v>
      </c>
      <c r="U53" s="127">
        <f t="shared" si="7"/>
        <v>0.20999999999999996</v>
      </c>
      <c r="V53" s="127">
        <f t="shared" si="7"/>
        <v>0.19999999999999996</v>
      </c>
      <c r="W53" s="127">
        <f t="shared" si="7"/>
        <v>0.20999999999999996</v>
      </c>
    </row>
    <row r="54" spans="1:23" ht="12.75">
      <c r="A54" s="130" t="s">
        <v>9</v>
      </c>
      <c r="B54" s="224">
        <v>0.96</v>
      </c>
      <c r="C54" s="225">
        <v>0.95</v>
      </c>
      <c r="D54" s="225">
        <v>0.97</v>
      </c>
      <c r="E54" s="224">
        <v>0.93</v>
      </c>
      <c r="F54" s="225">
        <v>0.97</v>
      </c>
      <c r="G54" s="225">
        <v>0.9</v>
      </c>
      <c r="H54" s="125"/>
      <c r="I54" s="130" t="s">
        <v>9</v>
      </c>
      <c r="J54" s="224">
        <v>0.77</v>
      </c>
      <c r="K54" s="225">
        <v>0.76</v>
      </c>
      <c r="L54" s="225">
        <v>0.77</v>
      </c>
      <c r="M54" s="224">
        <v>0.72</v>
      </c>
      <c r="N54" s="225">
        <v>0.78</v>
      </c>
      <c r="O54" s="225">
        <v>0.76</v>
      </c>
      <c r="Q54" s="128" t="str">
        <f t="shared" si="6"/>
        <v>EDT/s</v>
      </c>
      <c r="R54" s="127">
        <f t="shared" si="7"/>
        <v>0.18999999999999995</v>
      </c>
      <c r="S54" s="127">
        <f t="shared" si="7"/>
        <v>0.18999999999999995</v>
      </c>
      <c r="T54" s="127">
        <f t="shared" si="7"/>
        <v>0.19999999999999996</v>
      </c>
      <c r="U54" s="127">
        <f t="shared" si="7"/>
        <v>0.21000000000000008</v>
      </c>
      <c r="V54" s="127">
        <f t="shared" si="7"/>
        <v>0.18999999999999995</v>
      </c>
      <c r="W54" s="127">
        <f t="shared" si="7"/>
        <v>0.14</v>
      </c>
    </row>
    <row r="55" spans="1:23" ht="12.75">
      <c r="A55" s="130" t="s">
        <v>10</v>
      </c>
      <c r="B55" s="224">
        <v>53.4</v>
      </c>
      <c r="C55" s="225">
        <v>58.8</v>
      </c>
      <c r="D55" s="225">
        <v>53.1</v>
      </c>
      <c r="E55" s="224">
        <v>62.8</v>
      </c>
      <c r="F55" s="225">
        <v>54.5</v>
      </c>
      <c r="G55" s="225">
        <v>63.4</v>
      </c>
      <c r="H55" s="125"/>
      <c r="I55" s="130" t="s">
        <v>10</v>
      </c>
      <c r="J55" s="224">
        <v>63.2</v>
      </c>
      <c r="K55" s="225">
        <v>68.1</v>
      </c>
      <c r="L55" s="225">
        <v>64.9</v>
      </c>
      <c r="M55" s="224">
        <v>68.6</v>
      </c>
      <c r="N55" s="225">
        <v>62.4</v>
      </c>
      <c r="O55" s="225">
        <v>68.5</v>
      </c>
      <c r="Q55" s="128" t="str">
        <f t="shared" si="6"/>
        <v>D/%</v>
      </c>
      <c r="R55" s="127">
        <f t="shared" si="7"/>
        <v>-9.800000000000004</v>
      </c>
      <c r="S55" s="127">
        <f t="shared" si="7"/>
        <v>-9.299999999999997</v>
      </c>
      <c r="T55" s="127">
        <f t="shared" si="7"/>
        <v>-11.800000000000004</v>
      </c>
      <c r="U55" s="127">
        <f t="shared" si="7"/>
        <v>-5.799999999999997</v>
      </c>
      <c r="V55" s="127">
        <f t="shared" si="7"/>
        <v>-7.899999999999999</v>
      </c>
      <c r="W55" s="127">
        <f t="shared" si="7"/>
        <v>-5.100000000000001</v>
      </c>
    </row>
    <row r="56" spans="1:23" ht="12.75">
      <c r="A56" s="130" t="s">
        <v>11</v>
      </c>
      <c r="B56" s="224">
        <v>4</v>
      </c>
      <c r="C56" s="225">
        <v>4.5</v>
      </c>
      <c r="D56" s="225">
        <v>3.5</v>
      </c>
      <c r="E56" s="224">
        <v>4.9</v>
      </c>
      <c r="F56" s="225">
        <v>3.6</v>
      </c>
      <c r="G56" s="225">
        <v>5</v>
      </c>
      <c r="H56" s="125"/>
      <c r="I56" s="130" t="s">
        <v>11</v>
      </c>
      <c r="J56" s="224">
        <v>5.6</v>
      </c>
      <c r="K56" s="225">
        <v>6.4</v>
      </c>
      <c r="L56" s="225">
        <v>5.6</v>
      </c>
      <c r="M56" s="224">
        <v>6.9</v>
      </c>
      <c r="N56" s="225">
        <v>5.4</v>
      </c>
      <c r="O56" s="225">
        <v>6.5</v>
      </c>
      <c r="Q56" s="128" t="str">
        <f t="shared" si="6"/>
        <v>C/dB</v>
      </c>
      <c r="R56" s="127">
        <f t="shared" si="7"/>
        <v>-1.5999999999999996</v>
      </c>
      <c r="S56" s="127">
        <f t="shared" si="7"/>
        <v>-1.9000000000000004</v>
      </c>
      <c r="T56" s="127">
        <f t="shared" si="7"/>
        <v>-2.0999999999999996</v>
      </c>
      <c r="U56" s="127">
        <f t="shared" si="7"/>
        <v>-2</v>
      </c>
      <c r="V56" s="127">
        <f t="shared" si="7"/>
        <v>-1.8000000000000003</v>
      </c>
      <c r="W56" s="127">
        <f t="shared" si="7"/>
        <v>-1.5</v>
      </c>
    </row>
    <row r="57" spans="1:23" ht="13.5" customHeight="1">
      <c r="A57" s="130" t="s">
        <v>12</v>
      </c>
      <c r="B57" s="224">
        <v>64.5</v>
      </c>
      <c r="C57" s="225">
        <v>58.6</v>
      </c>
      <c r="D57" s="225">
        <v>67.2</v>
      </c>
      <c r="E57" s="224">
        <v>54.4</v>
      </c>
      <c r="F57" s="225">
        <v>65.1</v>
      </c>
      <c r="G57" s="225">
        <v>54.3</v>
      </c>
      <c r="H57" s="125"/>
      <c r="I57" s="130" t="s">
        <v>12</v>
      </c>
      <c r="J57" s="224">
        <v>50.4</v>
      </c>
      <c r="K57" s="225">
        <v>44.5</v>
      </c>
      <c r="L57" s="225">
        <v>51.2</v>
      </c>
      <c r="M57" s="224">
        <v>43.2</v>
      </c>
      <c r="N57" s="225">
        <v>51.6</v>
      </c>
      <c r="O57" s="225">
        <v>44</v>
      </c>
      <c r="Q57" s="128" t="str">
        <f t="shared" si="6"/>
        <v>TS/ms</v>
      </c>
      <c r="R57" s="127">
        <f t="shared" si="7"/>
        <v>14.100000000000001</v>
      </c>
      <c r="S57" s="127">
        <f t="shared" si="7"/>
        <v>14.100000000000001</v>
      </c>
      <c r="T57" s="127">
        <f t="shared" si="7"/>
        <v>16</v>
      </c>
      <c r="U57" s="127">
        <f t="shared" si="7"/>
        <v>11.199999999999996</v>
      </c>
      <c r="V57" s="127">
        <f t="shared" si="7"/>
        <v>13.499999999999993</v>
      </c>
      <c r="W57" s="127">
        <f t="shared" si="7"/>
        <v>10.299999999999997</v>
      </c>
    </row>
    <row r="58" spans="1:23" ht="12" customHeight="1">
      <c r="A58" s="130" t="s">
        <v>13</v>
      </c>
      <c r="B58" s="224">
        <v>18.6</v>
      </c>
      <c r="C58" s="225">
        <v>19.9</v>
      </c>
      <c r="D58" s="225">
        <v>18.4</v>
      </c>
      <c r="E58" s="224">
        <v>19.5</v>
      </c>
      <c r="F58" s="225">
        <v>18.7</v>
      </c>
      <c r="G58" s="225">
        <v>19.9</v>
      </c>
      <c r="H58" s="125"/>
      <c r="I58" s="130" t="s">
        <v>13</v>
      </c>
      <c r="J58" s="224">
        <v>17.8</v>
      </c>
      <c r="K58" s="225">
        <v>19.1</v>
      </c>
      <c r="L58" s="225">
        <v>17.9</v>
      </c>
      <c r="M58" s="224">
        <v>18.9</v>
      </c>
      <c r="N58" s="225">
        <v>18</v>
      </c>
      <c r="O58" s="225">
        <v>19.1</v>
      </c>
      <c r="Q58" s="128" t="str">
        <f t="shared" si="6"/>
        <v>G/dB</v>
      </c>
      <c r="R58" s="127">
        <f t="shared" si="7"/>
        <v>0.8000000000000007</v>
      </c>
      <c r="S58" s="127">
        <f t="shared" si="7"/>
        <v>0.7999999999999972</v>
      </c>
      <c r="T58" s="127">
        <f t="shared" si="7"/>
        <v>0.5</v>
      </c>
      <c r="U58" s="127">
        <f t="shared" si="7"/>
        <v>0.6000000000000014</v>
      </c>
      <c r="V58" s="127">
        <f t="shared" si="7"/>
        <v>0.6999999999999993</v>
      </c>
      <c r="W58" s="127">
        <f t="shared" si="7"/>
        <v>0.7999999999999972</v>
      </c>
    </row>
    <row r="59" spans="1:23" ht="12.75">
      <c r="A59" s="130" t="s">
        <v>14</v>
      </c>
      <c r="B59" s="224">
        <v>27.2</v>
      </c>
      <c r="C59" s="225">
        <v>21.3</v>
      </c>
      <c r="D59" s="225">
        <v>24.6</v>
      </c>
      <c r="E59" s="224">
        <v>24.6</v>
      </c>
      <c r="F59" s="225">
        <v>26.7</v>
      </c>
      <c r="G59" s="225">
        <v>24.3</v>
      </c>
      <c r="H59" s="125"/>
      <c r="I59" s="130" t="s">
        <v>14</v>
      </c>
      <c r="J59" s="224">
        <v>30.1</v>
      </c>
      <c r="K59" s="225">
        <v>20.2</v>
      </c>
      <c r="L59" s="225">
        <v>27.4</v>
      </c>
      <c r="M59" s="224">
        <v>24.5</v>
      </c>
      <c r="N59" s="225">
        <v>25.4</v>
      </c>
      <c r="O59" s="225">
        <v>22.8</v>
      </c>
      <c r="Q59" s="128" t="str">
        <f t="shared" si="6"/>
        <v>LF/%</v>
      </c>
      <c r="R59" s="127">
        <f t="shared" si="7"/>
        <v>-2.900000000000002</v>
      </c>
      <c r="S59" s="127">
        <f t="shared" si="7"/>
        <v>1.1000000000000014</v>
      </c>
      <c r="T59" s="127">
        <f t="shared" si="7"/>
        <v>-2.799999999999997</v>
      </c>
      <c r="U59" s="127">
        <f t="shared" si="7"/>
        <v>0.10000000000000142</v>
      </c>
      <c r="V59" s="127">
        <f t="shared" si="7"/>
        <v>1.3000000000000007</v>
      </c>
      <c r="W59" s="127">
        <f t="shared" si="7"/>
        <v>1.5</v>
      </c>
    </row>
    <row r="60" spans="1:23" ht="12.75">
      <c r="A60" s="130" t="s">
        <v>15</v>
      </c>
      <c r="B60" s="224">
        <v>39.1</v>
      </c>
      <c r="C60" s="225">
        <v>32.6</v>
      </c>
      <c r="D60" s="225">
        <v>38.5</v>
      </c>
      <c r="E60" s="224">
        <v>35.5</v>
      </c>
      <c r="F60" s="225">
        <v>38.8</v>
      </c>
      <c r="G60" s="225">
        <v>35.4</v>
      </c>
      <c r="H60" s="125"/>
      <c r="I60" s="130" t="s">
        <v>15</v>
      </c>
      <c r="J60" s="224">
        <v>42</v>
      </c>
      <c r="K60" s="225">
        <v>31.4</v>
      </c>
      <c r="L60" s="225">
        <v>41.2</v>
      </c>
      <c r="M60" s="224">
        <v>35.1</v>
      </c>
      <c r="N60" s="225">
        <v>37.3</v>
      </c>
      <c r="O60" s="225">
        <v>33.5</v>
      </c>
      <c r="Q60" s="128" t="str">
        <f t="shared" si="6"/>
        <v>LFC/%</v>
      </c>
      <c r="R60" s="127">
        <f t="shared" si="7"/>
        <v>-2.8999999999999986</v>
      </c>
      <c r="S60" s="127">
        <f t="shared" si="7"/>
        <v>1.2000000000000028</v>
      </c>
      <c r="T60" s="127">
        <f t="shared" si="7"/>
        <v>-2.700000000000003</v>
      </c>
      <c r="U60" s="127">
        <f t="shared" si="7"/>
        <v>0.3999999999999986</v>
      </c>
      <c r="V60" s="127">
        <f t="shared" si="7"/>
        <v>1.5</v>
      </c>
      <c r="W60" s="127">
        <f t="shared" si="7"/>
        <v>1.8999999999999986</v>
      </c>
    </row>
    <row r="61" spans="1:23" ht="12.75">
      <c r="A61" s="134" t="s">
        <v>16</v>
      </c>
      <c r="B61" s="303">
        <v>0.28</v>
      </c>
      <c r="C61" s="304">
        <v>0.47</v>
      </c>
      <c r="D61" s="304">
        <v>0.34</v>
      </c>
      <c r="E61" s="304">
        <v>0.35</v>
      </c>
      <c r="F61" s="304">
        <v>0.17</v>
      </c>
      <c r="G61" s="305">
        <v>0.23</v>
      </c>
      <c r="H61" s="306"/>
      <c r="I61" s="134" t="s">
        <v>16</v>
      </c>
      <c r="J61" s="303">
        <v>0.25</v>
      </c>
      <c r="K61" s="304">
        <v>0.31</v>
      </c>
      <c r="L61" s="304">
        <v>0.34</v>
      </c>
      <c r="M61" s="304">
        <v>0.38</v>
      </c>
      <c r="N61" s="304">
        <v>0.41</v>
      </c>
      <c r="O61" s="305">
        <v>0.28</v>
      </c>
      <c r="Q61" s="128" t="str">
        <f t="shared" si="6"/>
        <v>IACC</v>
      </c>
      <c r="R61" s="127">
        <f t="shared" si="7"/>
        <v>0.030000000000000027</v>
      </c>
      <c r="S61" s="127">
        <f t="shared" si="7"/>
        <v>0.15999999999999998</v>
      </c>
      <c r="T61" s="127">
        <f t="shared" si="7"/>
        <v>0</v>
      </c>
      <c r="U61" s="127">
        <f t="shared" si="7"/>
        <v>-0.030000000000000027</v>
      </c>
      <c r="V61" s="127">
        <f t="shared" si="7"/>
        <v>-0.23999999999999996</v>
      </c>
      <c r="W61" s="127">
        <f t="shared" si="7"/>
        <v>-0.05000000000000002</v>
      </c>
    </row>
    <row r="62" spans="2:15" ht="12.75">
      <c r="B62" s="224"/>
      <c r="C62" s="225"/>
      <c r="D62" s="225"/>
      <c r="E62" s="224"/>
      <c r="F62" s="225"/>
      <c r="G62" s="225"/>
      <c r="H62" s="136"/>
      <c r="J62" s="224"/>
      <c r="K62" s="225"/>
      <c r="L62" s="225"/>
      <c r="M62" s="224"/>
      <c r="N62" s="225"/>
      <c r="O62" s="225"/>
    </row>
    <row r="63" spans="1:18" ht="12.75">
      <c r="A63" s="155" t="s">
        <v>20</v>
      </c>
      <c r="B63" s="156" t="s">
        <v>1</v>
      </c>
      <c r="E63" s="136"/>
      <c r="F63" s="136"/>
      <c r="G63" s="136"/>
      <c r="H63" s="136"/>
      <c r="I63" s="155" t="s">
        <v>20</v>
      </c>
      <c r="J63" s="156" t="s">
        <v>1</v>
      </c>
      <c r="M63" s="136"/>
      <c r="N63" s="136"/>
      <c r="O63" s="136"/>
      <c r="Q63" s="128" t="str">
        <f>+A63</f>
        <v>2000 Hz</v>
      </c>
      <c r="R63" s="128" t="str">
        <f>+B63</f>
        <v>octave</v>
      </c>
    </row>
    <row r="64" spans="1:23" ht="12.75">
      <c r="A64" s="142"/>
      <c r="B64" s="140" t="s">
        <v>2</v>
      </c>
      <c r="C64" s="140" t="s">
        <v>3</v>
      </c>
      <c r="D64" s="139" t="s">
        <v>4</v>
      </c>
      <c r="E64" s="139" t="s">
        <v>5</v>
      </c>
      <c r="F64" s="140" t="s">
        <v>6</v>
      </c>
      <c r="G64" s="139" t="s">
        <v>7</v>
      </c>
      <c r="H64" s="141"/>
      <c r="I64" s="142"/>
      <c r="J64" s="140" t="s">
        <v>2</v>
      </c>
      <c r="K64" s="140" t="s">
        <v>3</v>
      </c>
      <c r="L64" s="139" t="s">
        <v>4</v>
      </c>
      <c r="M64" s="139" t="s">
        <v>5</v>
      </c>
      <c r="N64" s="140" t="s">
        <v>6</v>
      </c>
      <c r="O64" s="139" t="s">
        <v>7</v>
      </c>
      <c r="Q64" s="128">
        <f>+A64</f>
        <v>0</v>
      </c>
      <c r="R64" s="128" t="str">
        <f>+B64</f>
        <v>S1R1</v>
      </c>
      <c r="S64" s="128" t="str">
        <f>+C64</f>
        <v>S1R2</v>
      </c>
      <c r="T64" s="128" t="str">
        <f>+D64</f>
        <v>S1R3</v>
      </c>
      <c r="U64" s="128" t="str">
        <f>+E64</f>
        <v>S2R1</v>
      </c>
      <c r="V64" s="128" t="str">
        <f>+F64</f>
        <v>S2R2</v>
      </c>
      <c r="W64" s="128" t="str">
        <f>+G64</f>
        <v>S2R3</v>
      </c>
    </row>
    <row r="65" spans="1:23" ht="12.75">
      <c r="A65" s="130" t="s">
        <v>8</v>
      </c>
      <c r="B65" s="302">
        <v>1.1</v>
      </c>
      <c r="C65" s="302">
        <v>1.09</v>
      </c>
      <c r="D65" s="302">
        <v>1.1</v>
      </c>
      <c r="E65" s="302">
        <v>1.09</v>
      </c>
      <c r="F65" s="302">
        <v>1.09</v>
      </c>
      <c r="G65" s="302">
        <v>1.09</v>
      </c>
      <c r="H65" s="125"/>
      <c r="I65" s="130" t="s">
        <v>8</v>
      </c>
      <c r="J65" s="302">
        <v>0.74</v>
      </c>
      <c r="K65" s="302">
        <v>0.75</v>
      </c>
      <c r="L65" s="302">
        <v>0.75</v>
      </c>
      <c r="M65" s="302">
        <v>0.74</v>
      </c>
      <c r="N65" s="302">
        <v>0.75</v>
      </c>
      <c r="O65" s="302">
        <v>0.76</v>
      </c>
      <c r="Q65" s="128" t="str">
        <f aca="true" t="shared" si="8" ref="Q65:Q73">+A65</f>
        <v>T30/s</v>
      </c>
      <c r="R65" s="127">
        <f aca="true" t="shared" si="9" ref="R65:W73">+B65-J65</f>
        <v>0.3600000000000001</v>
      </c>
      <c r="S65" s="127">
        <f t="shared" si="9"/>
        <v>0.3400000000000001</v>
      </c>
      <c r="T65" s="127">
        <f t="shared" si="9"/>
        <v>0.3500000000000001</v>
      </c>
      <c r="U65" s="127">
        <f t="shared" si="9"/>
        <v>0.3500000000000001</v>
      </c>
      <c r="V65" s="127">
        <f t="shared" si="9"/>
        <v>0.3400000000000001</v>
      </c>
      <c r="W65" s="127">
        <f t="shared" si="9"/>
        <v>0.33000000000000007</v>
      </c>
    </row>
    <row r="66" spans="1:23" ht="12.75">
      <c r="A66" s="130" t="s">
        <v>9</v>
      </c>
      <c r="B66" s="224">
        <v>1.08</v>
      </c>
      <c r="C66" s="225">
        <v>1.05</v>
      </c>
      <c r="D66" s="225">
        <v>1.08</v>
      </c>
      <c r="E66" s="224">
        <v>1.04</v>
      </c>
      <c r="F66" s="225">
        <v>1.04</v>
      </c>
      <c r="G66" s="225">
        <v>1.05</v>
      </c>
      <c r="H66" s="125"/>
      <c r="I66" s="130" t="s">
        <v>9</v>
      </c>
      <c r="J66" s="224">
        <v>0.76</v>
      </c>
      <c r="K66" s="225">
        <v>0.71</v>
      </c>
      <c r="L66" s="225">
        <v>0.73</v>
      </c>
      <c r="M66" s="224">
        <v>0.7</v>
      </c>
      <c r="N66" s="225">
        <v>0.76</v>
      </c>
      <c r="O66" s="225">
        <v>0.7</v>
      </c>
      <c r="Q66" s="128" t="str">
        <f t="shared" si="8"/>
        <v>EDT/s</v>
      </c>
      <c r="R66" s="127">
        <f t="shared" si="9"/>
        <v>0.32000000000000006</v>
      </c>
      <c r="S66" s="127">
        <f t="shared" si="9"/>
        <v>0.3400000000000001</v>
      </c>
      <c r="T66" s="127">
        <f t="shared" si="9"/>
        <v>0.3500000000000001</v>
      </c>
      <c r="U66" s="127">
        <f t="shared" si="9"/>
        <v>0.3400000000000001</v>
      </c>
      <c r="V66" s="127">
        <f t="shared" si="9"/>
        <v>0.28</v>
      </c>
      <c r="W66" s="127">
        <f t="shared" si="9"/>
        <v>0.3500000000000001</v>
      </c>
    </row>
    <row r="67" spans="1:23" ht="12.75">
      <c r="A67" s="130" t="s">
        <v>10</v>
      </c>
      <c r="B67" s="224">
        <v>49.5</v>
      </c>
      <c r="C67" s="225">
        <v>56.1</v>
      </c>
      <c r="D67" s="225">
        <v>48.4</v>
      </c>
      <c r="E67" s="224">
        <v>57.4</v>
      </c>
      <c r="F67" s="225">
        <v>49.6</v>
      </c>
      <c r="G67" s="225">
        <v>57.1</v>
      </c>
      <c r="H67" s="125"/>
      <c r="I67" s="130" t="s">
        <v>10</v>
      </c>
      <c r="J67" s="224">
        <v>62.6</v>
      </c>
      <c r="K67" s="225">
        <v>69.3</v>
      </c>
      <c r="L67" s="225">
        <v>62.2</v>
      </c>
      <c r="M67" s="224">
        <v>69.3</v>
      </c>
      <c r="N67" s="225">
        <v>61.2</v>
      </c>
      <c r="O67" s="225">
        <v>69.4</v>
      </c>
      <c r="Q67" s="128" t="str">
        <f t="shared" si="8"/>
        <v>D/%</v>
      </c>
      <c r="R67" s="127">
        <f t="shared" si="9"/>
        <v>-13.100000000000001</v>
      </c>
      <c r="S67" s="127">
        <f t="shared" si="9"/>
        <v>-13.199999999999996</v>
      </c>
      <c r="T67" s="127">
        <f t="shared" si="9"/>
        <v>-13.800000000000004</v>
      </c>
      <c r="U67" s="127">
        <f t="shared" si="9"/>
        <v>-11.899999999999999</v>
      </c>
      <c r="V67" s="127">
        <f t="shared" si="9"/>
        <v>-11.600000000000001</v>
      </c>
      <c r="W67" s="127">
        <f t="shared" si="9"/>
        <v>-12.300000000000004</v>
      </c>
    </row>
    <row r="68" spans="1:23" ht="12.75">
      <c r="A68" s="130" t="s">
        <v>11</v>
      </c>
      <c r="B68" s="224">
        <v>2.8</v>
      </c>
      <c r="C68" s="225">
        <v>3.7</v>
      </c>
      <c r="D68" s="225">
        <v>2.6</v>
      </c>
      <c r="E68" s="224">
        <v>4</v>
      </c>
      <c r="F68" s="225">
        <v>2.8</v>
      </c>
      <c r="G68" s="225">
        <v>4</v>
      </c>
      <c r="H68" s="125"/>
      <c r="I68" s="130" t="s">
        <v>11</v>
      </c>
      <c r="J68" s="224">
        <v>5.8</v>
      </c>
      <c r="K68" s="225">
        <v>6.6</v>
      </c>
      <c r="L68" s="225">
        <v>5.7</v>
      </c>
      <c r="M68" s="224">
        <v>6.8</v>
      </c>
      <c r="N68" s="225">
        <v>5.3</v>
      </c>
      <c r="O68" s="225">
        <v>6.9</v>
      </c>
      <c r="Q68" s="128" t="str">
        <f t="shared" si="8"/>
        <v>C/dB</v>
      </c>
      <c r="R68" s="127">
        <f t="shared" si="9"/>
        <v>-3</v>
      </c>
      <c r="S68" s="127">
        <f t="shared" si="9"/>
        <v>-2.8999999999999995</v>
      </c>
      <c r="T68" s="127">
        <f t="shared" si="9"/>
        <v>-3.1</v>
      </c>
      <c r="U68" s="127">
        <f t="shared" si="9"/>
        <v>-2.8</v>
      </c>
      <c r="V68" s="127">
        <f t="shared" si="9"/>
        <v>-2.5</v>
      </c>
      <c r="W68" s="127">
        <f t="shared" si="9"/>
        <v>-2.9000000000000004</v>
      </c>
    </row>
    <row r="69" spans="1:23" ht="12.75">
      <c r="A69" s="130" t="s">
        <v>12</v>
      </c>
      <c r="B69" s="224">
        <v>74.1</v>
      </c>
      <c r="C69" s="225">
        <v>66.1</v>
      </c>
      <c r="D69" s="225">
        <v>75.8</v>
      </c>
      <c r="E69" s="224">
        <v>62.9</v>
      </c>
      <c r="F69" s="225">
        <v>73.5</v>
      </c>
      <c r="G69" s="225">
        <v>63.9</v>
      </c>
      <c r="H69" s="125"/>
      <c r="I69" s="130" t="s">
        <v>12</v>
      </c>
      <c r="J69" s="224">
        <v>49.7</v>
      </c>
      <c r="K69" s="225">
        <v>43.5</v>
      </c>
      <c r="L69" s="225">
        <v>51.2</v>
      </c>
      <c r="M69" s="224">
        <v>43</v>
      </c>
      <c r="N69" s="225">
        <v>51.9</v>
      </c>
      <c r="O69" s="225">
        <v>42.9</v>
      </c>
      <c r="Q69" s="128" t="str">
        <f t="shared" si="8"/>
        <v>TS/ms</v>
      </c>
      <c r="R69" s="127">
        <f t="shared" si="9"/>
        <v>24.39999999999999</v>
      </c>
      <c r="S69" s="127">
        <f t="shared" si="9"/>
        <v>22.599999999999994</v>
      </c>
      <c r="T69" s="127">
        <f t="shared" si="9"/>
        <v>24.599999999999994</v>
      </c>
      <c r="U69" s="127">
        <f t="shared" si="9"/>
        <v>19.9</v>
      </c>
      <c r="V69" s="127">
        <f t="shared" si="9"/>
        <v>21.6</v>
      </c>
      <c r="W69" s="127">
        <f t="shared" si="9"/>
        <v>21</v>
      </c>
    </row>
    <row r="70" spans="1:23" ht="12.75">
      <c r="A70" s="130" t="s">
        <v>13</v>
      </c>
      <c r="B70" s="224">
        <v>19.1</v>
      </c>
      <c r="C70" s="225">
        <v>20.4</v>
      </c>
      <c r="D70" s="225">
        <v>19.1</v>
      </c>
      <c r="E70" s="224">
        <v>20.1</v>
      </c>
      <c r="F70" s="225">
        <v>19.3</v>
      </c>
      <c r="G70" s="225">
        <v>20.2</v>
      </c>
      <c r="H70" s="125"/>
      <c r="I70" s="130" t="s">
        <v>13</v>
      </c>
      <c r="J70" s="224">
        <v>17.6</v>
      </c>
      <c r="K70" s="225">
        <v>19.2</v>
      </c>
      <c r="L70" s="225">
        <v>18</v>
      </c>
      <c r="M70" s="224">
        <v>18.8</v>
      </c>
      <c r="N70" s="225">
        <v>18</v>
      </c>
      <c r="O70" s="225">
        <v>19.4</v>
      </c>
      <c r="Q70" s="128" t="str">
        <f t="shared" si="8"/>
        <v>G/dB</v>
      </c>
      <c r="R70" s="127">
        <f t="shared" si="9"/>
        <v>1.5</v>
      </c>
      <c r="S70" s="127">
        <f t="shared" si="9"/>
        <v>1.1999999999999993</v>
      </c>
      <c r="T70" s="127">
        <f t="shared" si="9"/>
        <v>1.1000000000000014</v>
      </c>
      <c r="U70" s="127">
        <f t="shared" si="9"/>
        <v>1.3000000000000007</v>
      </c>
      <c r="V70" s="127">
        <f t="shared" si="9"/>
        <v>1.3000000000000007</v>
      </c>
      <c r="W70" s="127">
        <f t="shared" si="9"/>
        <v>0.8000000000000007</v>
      </c>
    </row>
    <row r="71" spans="1:23" ht="12.75">
      <c r="A71" s="130" t="s">
        <v>14</v>
      </c>
      <c r="B71" s="224">
        <v>26.7</v>
      </c>
      <c r="C71" s="225">
        <v>22.6</v>
      </c>
      <c r="D71" s="225">
        <v>25.1</v>
      </c>
      <c r="E71" s="224">
        <v>26</v>
      </c>
      <c r="F71" s="225">
        <v>26</v>
      </c>
      <c r="G71" s="225">
        <v>25.2</v>
      </c>
      <c r="H71" s="125"/>
      <c r="I71" s="130" t="s">
        <v>14</v>
      </c>
      <c r="J71" s="224">
        <v>26</v>
      </c>
      <c r="K71" s="225">
        <v>19.1</v>
      </c>
      <c r="L71" s="225">
        <v>27.7</v>
      </c>
      <c r="M71" s="224">
        <v>22.9</v>
      </c>
      <c r="N71" s="225">
        <v>25.9</v>
      </c>
      <c r="O71" s="225">
        <v>24.7</v>
      </c>
      <c r="Q71" s="128" t="str">
        <f t="shared" si="8"/>
        <v>LF/%</v>
      </c>
      <c r="R71" s="127">
        <f t="shared" si="9"/>
        <v>0.6999999999999993</v>
      </c>
      <c r="S71" s="127">
        <f t="shared" si="9"/>
        <v>3.5</v>
      </c>
      <c r="T71" s="127">
        <f t="shared" si="9"/>
        <v>-2.599999999999998</v>
      </c>
      <c r="U71" s="127">
        <f t="shared" si="9"/>
        <v>3.1000000000000014</v>
      </c>
      <c r="V71" s="127">
        <f t="shared" si="9"/>
        <v>0.10000000000000142</v>
      </c>
      <c r="W71" s="127">
        <f t="shared" si="9"/>
        <v>0.5</v>
      </c>
    </row>
    <row r="72" spans="1:23" ht="12.75">
      <c r="A72" s="130" t="s">
        <v>15</v>
      </c>
      <c r="B72" s="224">
        <v>38.8</v>
      </c>
      <c r="C72" s="225">
        <v>34.3</v>
      </c>
      <c r="D72" s="225">
        <v>39.1</v>
      </c>
      <c r="E72" s="224">
        <v>37.2</v>
      </c>
      <c r="F72" s="225">
        <v>38.5</v>
      </c>
      <c r="G72" s="225">
        <v>36.3</v>
      </c>
      <c r="H72" s="125"/>
      <c r="I72" s="130" t="s">
        <v>15</v>
      </c>
      <c r="J72" s="224">
        <v>37.3</v>
      </c>
      <c r="K72" s="225">
        <v>30.2</v>
      </c>
      <c r="L72" s="225">
        <v>41.6</v>
      </c>
      <c r="M72" s="224">
        <v>33.6</v>
      </c>
      <c r="N72" s="225">
        <v>37.7</v>
      </c>
      <c r="O72" s="225">
        <v>35.8</v>
      </c>
      <c r="Q72" s="128" t="str">
        <f t="shared" si="8"/>
        <v>LFC/%</v>
      </c>
      <c r="R72" s="127">
        <f t="shared" si="9"/>
        <v>1.5</v>
      </c>
      <c r="S72" s="127">
        <f t="shared" si="9"/>
        <v>4.099999999999998</v>
      </c>
      <c r="T72" s="127">
        <f t="shared" si="9"/>
        <v>-2.5</v>
      </c>
      <c r="U72" s="127">
        <f t="shared" si="9"/>
        <v>3.6000000000000014</v>
      </c>
      <c r="V72" s="127">
        <f t="shared" si="9"/>
        <v>0.7999999999999972</v>
      </c>
      <c r="W72" s="127">
        <f t="shared" si="9"/>
        <v>0.5</v>
      </c>
    </row>
    <row r="73" spans="1:23" ht="12.75">
      <c r="A73" s="134" t="s">
        <v>16</v>
      </c>
      <c r="B73" s="303">
        <v>0.29</v>
      </c>
      <c r="C73" s="304">
        <v>0.43</v>
      </c>
      <c r="D73" s="304">
        <v>0.22</v>
      </c>
      <c r="E73" s="304">
        <v>0.41</v>
      </c>
      <c r="F73" s="304">
        <v>0.4</v>
      </c>
      <c r="G73" s="305">
        <v>0.43</v>
      </c>
      <c r="H73" s="306"/>
      <c r="I73" s="134" t="s">
        <v>16</v>
      </c>
      <c r="J73" s="303">
        <v>0.43</v>
      </c>
      <c r="K73" s="304">
        <v>0.38</v>
      </c>
      <c r="L73" s="304">
        <v>0.38</v>
      </c>
      <c r="M73" s="304">
        <v>0.47</v>
      </c>
      <c r="N73" s="304">
        <v>0.42</v>
      </c>
      <c r="O73" s="305">
        <v>0.5</v>
      </c>
      <c r="Q73" s="128" t="str">
        <f t="shared" si="8"/>
        <v>IACC</v>
      </c>
      <c r="R73" s="127">
        <f t="shared" si="9"/>
        <v>-0.14</v>
      </c>
      <c r="S73" s="127">
        <f t="shared" si="9"/>
        <v>0.04999999999999999</v>
      </c>
      <c r="T73" s="127">
        <f t="shared" si="9"/>
        <v>-0.16</v>
      </c>
      <c r="U73" s="127">
        <f t="shared" si="9"/>
        <v>-0.06</v>
      </c>
      <c r="V73" s="127">
        <f t="shared" si="9"/>
        <v>-0.019999999999999962</v>
      </c>
      <c r="W73" s="127">
        <f t="shared" si="9"/>
        <v>-0.07</v>
      </c>
    </row>
    <row r="74" spans="2:15" ht="12.75">
      <c r="B74" s="224"/>
      <c r="C74" s="225"/>
      <c r="D74" s="225"/>
      <c r="E74" s="224"/>
      <c r="F74" s="225"/>
      <c r="G74" s="225"/>
      <c r="H74" s="136"/>
      <c r="J74" s="224"/>
      <c r="K74" s="225"/>
      <c r="L74" s="225"/>
      <c r="M74" s="224"/>
      <c r="N74" s="225"/>
      <c r="O74" s="225"/>
    </row>
    <row r="75" spans="1:18" ht="12.75">
      <c r="A75" s="155" t="s">
        <v>21</v>
      </c>
      <c r="B75" s="156" t="s">
        <v>1</v>
      </c>
      <c r="E75" s="136"/>
      <c r="F75" s="136"/>
      <c r="G75" s="136"/>
      <c r="H75" s="136"/>
      <c r="I75" s="155" t="s">
        <v>21</v>
      </c>
      <c r="J75" s="156" t="s">
        <v>1</v>
      </c>
      <c r="M75" s="136"/>
      <c r="N75" s="136"/>
      <c r="O75" s="136"/>
      <c r="Q75" s="128" t="str">
        <f>+A75</f>
        <v>4000 Hz</v>
      </c>
      <c r="R75" s="128" t="str">
        <f>+B75</f>
        <v>octave</v>
      </c>
    </row>
    <row r="76" spans="1:23" ht="12.75">
      <c r="A76" s="142"/>
      <c r="B76" s="140" t="s">
        <v>2</v>
      </c>
      <c r="C76" s="140" t="s">
        <v>3</v>
      </c>
      <c r="D76" s="139" t="s">
        <v>4</v>
      </c>
      <c r="E76" s="139" t="s">
        <v>5</v>
      </c>
      <c r="F76" s="140" t="s">
        <v>6</v>
      </c>
      <c r="G76" s="139" t="s">
        <v>7</v>
      </c>
      <c r="H76" s="141"/>
      <c r="I76" s="142"/>
      <c r="J76" s="140" t="s">
        <v>2</v>
      </c>
      <c r="K76" s="140" t="s">
        <v>3</v>
      </c>
      <c r="L76" s="139" t="s">
        <v>4</v>
      </c>
      <c r="M76" s="139" t="s">
        <v>5</v>
      </c>
      <c r="N76" s="140" t="s">
        <v>6</v>
      </c>
      <c r="O76" s="139" t="s">
        <v>7</v>
      </c>
      <c r="Q76" s="128">
        <f>+A76</f>
        <v>0</v>
      </c>
      <c r="R76" s="128" t="str">
        <f>+B76</f>
        <v>S1R1</v>
      </c>
      <c r="S76" s="128" t="str">
        <f>+C76</f>
        <v>S1R2</v>
      </c>
      <c r="T76" s="128" t="str">
        <f>+D76</f>
        <v>S1R3</v>
      </c>
      <c r="U76" s="128" t="str">
        <f>+E76</f>
        <v>S2R1</v>
      </c>
      <c r="V76" s="128" t="str">
        <f>+F76</f>
        <v>S2R2</v>
      </c>
      <c r="W76" s="128" t="str">
        <f>+G76</f>
        <v>S2R3</v>
      </c>
    </row>
    <row r="77" spans="1:23" ht="12.75">
      <c r="A77" s="130" t="s">
        <v>8</v>
      </c>
      <c r="B77" s="302">
        <v>0.95</v>
      </c>
      <c r="C77" s="302">
        <v>0.97</v>
      </c>
      <c r="D77" s="302">
        <v>0.97</v>
      </c>
      <c r="E77" s="302">
        <v>0.94</v>
      </c>
      <c r="F77" s="302">
        <v>0.94</v>
      </c>
      <c r="G77" s="302">
        <v>0.95</v>
      </c>
      <c r="H77" s="125"/>
      <c r="I77" s="130" t="s">
        <v>8</v>
      </c>
      <c r="J77" s="302">
        <v>0.64</v>
      </c>
      <c r="K77" s="302">
        <v>0.66</v>
      </c>
      <c r="L77" s="302">
        <v>0.66</v>
      </c>
      <c r="M77" s="302">
        <v>0.65</v>
      </c>
      <c r="N77" s="302">
        <v>0.65</v>
      </c>
      <c r="O77" s="302">
        <v>0.65</v>
      </c>
      <c r="Q77" s="128" t="str">
        <f aca="true" t="shared" si="10" ref="Q77:Q85">+A77</f>
        <v>T30/s</v>
      </c>
      <c r="R77" s="127">
        <f aca="true" t="shared" si="11" ref="R77:W85">+B77-J77</f>
        <v>0.30999999999999994</v>
      </c>
      <c r="S77" s="127">
        <f t="shared" si="11"/>
        <v>0.30999999999999994</v>
      </c>
      <c r="T77" s="127">
        <f t="shared" si="11"/>
        <v>0.30999999999999994</v>
      </c>
      <c r="U77" s="127">
        <f t="shared" si="11"/>
        <v>0.2899999999999999</v>
      </c>
      <c r="V77" s="127">
        <f t="shared" si="11"/>
        <v>0.2899999999999999</v>
      </c>
      <c r="W77" s="127">
        <f t="shared" si="11"/>
        <v>0.29999999999999993</v>
      </c>
    </row>
    <row r="78" spans="1:23" ht="12.75">
      <c r="A78" s="130" t="s">
        <v>9</v>
      </c>
      <c r="B78" s="224">
        <v>0.96</v>
      </c>
      <c r="C78" s="225">
        <v>0.91</v>
      </c>
      <c r="D78" s="225">
        <v>0.96</v>
      </c>
      <c r="E78" s="224">
        <v>0.91</v>
      </c>
      <c r="F78" s="225">
        <v>0.93</v>
      </c>
      <c r="G78" s="225">
        <v>0.87</v>
      </c>
      <c r="H78" s="125"/>
      <c r="I78" s="130" t="s">
        <v>9</v>
      </c>
      <c r="J78" s="224">
        <v>0.63</v>
      </c>
      <c r="K78" s="225">
        <v>0.61</v>
      </c>
      <c r="L78" s="225">
        <v>0.63</v>
      </c>
      <c r="M78" s="224">
        <v>0.62</v>
      </c>
      <c r="N78" s="225">
        <v>0.67</v>
      </c>
      <c r="O78" s="225">
        <v>0.59</v>
      </c>
      <c r="Q78" s="128" t="str">
        <f t="shared" si="10"/>
        <v>EDT/s</v>
      </c>
      <c r="R78" s="127">
        <f t="shared" si="11"/>
        <v>0.32999999999999996</v>
      </c>
      <c r="S78" s="127">
        <f t="shared" si="11"/>
        <v>0.30000000000000004</v>
      </c>
      <c r="T78" s="127">
        <f t="shared" si="11"/>
        <v>0.32999999999999996</v>
      </c>
      <c r="U78" s="127">
        <f t="shared" si="11"/>
        <v>0.29000000000000004</v>
      </c>
      <c r="V78" s="127">
        <f t="shared" si="11"/>
        <v>0.26</v>
      </c>
      <c r="W78" s="127">
        <f t="shared" si="11"/>
        <v>0.28</v>
      </c>
    </row>
    <row r="79" spans="1:23" ht="12.75">
      <c r="A79" s="130" t="s">
        <v>10</v>
      </c>
      <c r="B79" s="224">
        <v>52.9</v>
      </c>
      <c r="C79" s="225">
        <v>60.9</v>
      </c>
      <c r="D79" s="225">
        <v>53.9</v>
      </c>
      <c r="E79" s="224">
        <v>62.6</v>
      </c>
      <c r="F79" s="225">
        <v>55.7</v>
      </c>
      <c r="G79" s="225">
        <v>62</v>
      </c>
      <c r="H79" s="125"/>
      <c r="I79" s="130" t="s">
        <v>10</v>
      </c>
      <c r="J79" s="224">
        <v>69.6</v>
      </c>
      <c r="K79" s="225">
        <v>74.4</v>
      </c>
      <c r="L79" s="225">
        <v>68</v>
      </c>
      <c r="M79" s="224">
        <v>71.7</v>
      </c>
      <c r="N79" s="225">
        <v>66.3</v>
      </c>
      <c r="O79" s="225">
        <v>74.4</v>
      </c>
      <c r="Q79" s="128" t="str">
        <f t="shared" si="10"/>
        <v>D/%</v>
      </c>
      <c r="R79" s="127">
        <f t="shared" si="11"/>
        <v>-16.699999999999996</v>
      </c>
      <c r="S79" s="127">
        <f t="shared" si="11"/>
        <v>-13.500000000000007</v>
      </c>
      <c r="T79" s="127">
        <f t="shared" si="11"/>
        <v>-14.100000000000001</v>
      </c>
      <c r="U79" s="127">
        <f t="shared" si="11"/>
        <v>-9.100000000000001</v>
      </c>
      <c r="V79" s="127">
        <f t="shared" si="11"/>
        <v>-10.599999999999994</v>
      </c>
      <c r="W79" s="127">
        <f t="shared" si="11"/>
        <v>-12.400000000000006</v>
      </c>
    </row>
    <row r="80" spans="1:23" ht="12.75">
      <c r="A80" s="130" t="s">
        <v>11</v>
      </c>
      <c r="B80" s="224">
        <v>3.8</v>
      </c>
      <c r="C80" s="225">
        <v>4.7</v>
      </c>
      <c r="D80" s="225">
        <v>3.5</v>
      </c>
      <c r="E80" s="224">
        <v>5.1</v>
      </c>
      <c r="F80" s="225">
        <v>3.9</v>
      </c>
      <c r="G80" s="225">
        <v>5.2</v>
      </c>
      <c r="H80" s="125"/>
      <c r="I80" s="130" t="s">
        <v>11</v>
      </c>
      <c r="J80" s="224">
        <v>7.4</v>
      </c>
      <c r="K80" s="225">
        <v>8.2</v>
      </c>
      <c r="L80" s="225">
        <v>7.1</v>
      </c>
      <c r="M80" s="224">
        <v>8.1</v>
      </c>
      <c r="N80" s="225">
        <v>6.7</v>
      </c>
      <c r="O80" s="225">
        <v>8.3</v>
      </c>
      <c r="Q80" s="128" t="str">
        <f t="shared" si="10"/>
        <v>C/dB</v>
      </c>
      <c r="R80" s="127">
        <f t="shared" si="11"/>
        <v>-3.6000000000000005</v>
      </c>
      <c r="S80" s="127">
        <f t="shared" si="11"/>
        <v>-3.499999999999999</v>
      </c>
      <c r="T80" s="127">
        <f t="shared" si="11"/>
        <v>-3.5999999999999996</v>
      </c>
      <c r="U80" s="127">
        <f t="shared" si="11"/>
        <v>-3</v>
      </c>
      <c r="V80" s="127">
        <f t="shared" si="11"/>
        <v>-2.8000000000000003</v>
      </c>
      <c r="W80" s="127">
        <f t="shared" si="11"/>
        <v>-3.1000000000000005</v>
      </c>
    </row>
    <row r="81" spans="1:23" ht="12.75">
      <c r="A81" s="130" t="s">
        <v>12</v>
      </c>
      <c r="B81" s="224">
        <v>64.5</v>
      </c>
      <c r="C81" s="225">
        <v>56</v>
      </c>
      <c r="D81" s="225">
        <v>66.4</v>
      </c>
      <c r="E81" s="224">
        <v>53.6</v>
      </c>
      <c r="F81" s="225">
        <v>63.3</v>
      </c>
      <c r="G81" s="225">
        <v>54.3</v>
      </c>
      <c r="H81" s="125"/>
      <c r="I81" s="130" t="s">
        <v>12</v>
      </c>
      <c r="J81" s="224">
        <v>40.9</v>
      </c>
      <c r="K81" s="225">
        <v>36.1</v>
      </c>
      <c r="L81" s="225">
        <v>43.9</v>
      </c>
      <c r="M81" s="224">
        <v>36.2</v>
      </c>
      <c r="N81" s="225">
        <v>44</v>
      </c>
      <c r="O81" s="225">
        <v>35.9</v>
      </c>
      <c r="Q81" s="128" t="str">
        <f t="shared" si="10"/>
        <v>TS/ms</v>
      </c>
      <c r="R81" s="127">
        <f t="shared" si="11"/>
        <v>23.6</v>
      </c>
      <c r="S81" s="127">
        <f t="shared" si="11"/>
        <v>19.9</v>
      </c>
      <c r="T81" s="127">
        <f t="shared" si="11"/>
        <v>22.500000000000007</v>
      </c>
      <c r="U81" s="127">
        <f t="shared" si="11"/>
        <v>17.4</v>
      </c>
      <c r="V81" s="127">
        <f t="shared" si="11"/>
        <v>19.299999999999997</v>
      </c>
      <c r="W81" s="127">
        <f t="shared" si="11"/>
        <v>18.4</v>
      </c>
    </row>
    <row r="82" spans="1:23" ht="12.75">
      <c r="A82" s="130" t="s">
        <v>13</v>
      </c>
      <c r="B82" s="224">
        <v>18.5</v>
      </c>
      <c r="C82" s="225">
        <v>20.1</v>
      </c>
      <c r="D82" s="225">
        <v>18.5</v>
      </c>
      <c r="E82" s="224">
        <v>19.7</v>
      </c>
      <c r="F82" s="225">
        <v>18.9</v>
      </c>
      <c r="G82" s="225">
        <v>20</v>
      </c>
      <c r="H82" s="125"/>
      <c r="I82" s="130" t="s">
        <v>13</v>
      </c>
      <c r="J82" s="224">
        <v>17.1</v>
      </c>
      <c r="K82" s="225">
        <v>18.9</v>
      </c>
      <c r="L82" s="225">
        <v>17.3</v>
      </c>
      <c r="M82" s="224">
        <v>18.2</v>
      </c>
      <c r="N82" s="225">
        <v>17.5</v>
      </c>
      <c r="O82" s="225">
        <v>19.1</v>
      </c>
      <c r="Q82" s="128" t="str">
        <f t="shared" si="10"/>
        <v>G/dB</v>
      </c>
      <c r="R82" s="127">
        <f t="shared" si="11"/>
        <v>1.3999999999999986</v>
      </c>
      <c r="S82" s="127">
        <f t="shared" si="11"/>
        <v>1.2000000000000028</v>
      </c>
      <c r="T82" s="127">
        <f t="shared" si="11"/>
        <v>1.1999999999999993</v>
      </c>
      <c r="U82" s="127">
        <f t="shared" si="11"/>
        <v>1.5</v>
      </c>
      <c r="V82" s="127">
        <f t="shared" si="11"/>
        <v>1.3999999999999986</v>
      </c>
      <c r="W82" s="127">
        <f t="shared" si="11"/>
        <v>0.8999999999999986</v>
      </c>
    </row>
    <row r="83" spans="1:23" ht="12.75">
      <c r="A83" s="130" t="s">
        <v>14</v>
      </c>
      <c r="B83" s="224">
        <v>24.5</v>
      </c>
      <c r="C83" s="225">
        <v>22.3</v>
      </c>
      <c r="D83" s="225">
        <v>25.6</v>
      </c>
      <c r="E83" s="224">
        <v>24.7</v>
      </c>
      <c r="F83" s="225">
        <v>27.2</v>
      </c>
      <c r="G83" s="225">
        <v>23.4</v>
      </c>
      <c r="H83" s="125"/>
      <c r="I83" s="130" t="s">
        <v>14</v>
      </c>
      <c r="J83" s="224">
        <v>25.1</v>
      </c>
      <c r="K83" s="225">
        <v>19.4</v>
      </c>
      <c r="L83" s="225">
        <v>25.3</v>
      </c>
      <c r="M83" s="224">
        <v>19.6</v>
      </c>
      <c r="N83" s="225">
        <v>23.8</v>
      </c>
      <c r="O83" s="225">
        <v>22</v>
      </c>
      <c r="Q83" s="128" t="str">
        <f t="shared" si="10"/>
        <v>LF/%</v>
      </c>
      <c r="R83" s="127">
        <f t="shared" si="11"/>
        <v>-0.6000000000000014</v>
      </c>
      <c r="S83" s="127">
        <f t="shared" si="11"/>
        <v>2.900000000000002</v>
      </c>
      <c r="T83" s="127">
        <f t="shared" si="11"/>
        <v>0.3000000000000007</v>
      </c>
      <c r="U83" s="127">
        <f t="shared" si="11"/>
        <v>5.099999999999998</v>
      </c>
      <c r="V83" s="127">
        <f t="shared" si="11"/>
        <v>3.3999999999999986</v>
      </c>
      <c r="W83" s="127">
        <f t="shared" si="11"/>
        <v>1.3999999999999986</v>
      </c>
    </row>
    <row r="84" spans="1:23" ht="12.75">
      <c r="A84" s="130" t="s">
        <v>15</v>
      </c>
      <c r="B84" s="224">
        <v>36.3</v>
      </c>
      <c r="C84" s="225">
        <v>33.3</v>
      </c>
      <c r="D84" s="225">
        <v>39.5</v>
      </c>
      <c r="E84" s="224">
        <v>35.7</v>
      </c>
      <c r="F84" s="225">
        <v>39.3</v>
      </c>
      <c r="G84" s="225">
        <v>34.5</v>
      </c>
      <c r="H84" s="125"/>
      <c r="I84" s="130" t="s">
        <v>15</v>
      </c>
      <c r="J84" s="224">
        <v>35.8</v>
      </c>
      <c r="K84" s="225">
        <v>30.5</v>
      </c>
      <c r="L84" s="225">
        <v>38.8</v>
      </c>
      <c r="M84" s="224">
        <v>29.7</v>
      </c>
      <c r="N84" s="225">
        <v>35.1</v>
      </c>
      <c r="O84" s="225">
        <v>33</v>
      </c>
      <c r="Q84" s="128" t="str">
        <f t="shared" si="10"/>
        <v>LFC/%</v>
      </c>
      <c r="R84" s="127">
        <f t="shared" si="11"/>
        <v>0.5</v>
      </c>
      <c r="S84" s="127">
        <f t="shared" si="11"/>
        <v>2.799999999999997</v>
      </c>
      <c r="T84" s="127">
        <f t="shared" si="11"/>
        <v>0.7000000000000028</v>
      </c>
      <c r="U84" s="127">
        <f t="shared" si="11"/>
        <v>6.0000000000000036</v>
      </c>
      <c r="V84" s="127">
        <f t="shared" si="11"/>
        <v>4.199999999999996</v>
      </c>
      <c r="W84" s="127">
        <f t="shared" si="11"/>
        <v>1.5</v>
      </c>
    </row>
    <row r="85" spans="1:23" ht="12.75">
      <c r="A85" s="134" t="s">
        <v>16</v>
      </c>
      <c r="B85" s="303">
        <v>0.29</v>
      </c>
      <c r="C85" s="304">
        <v>0.33</v>
      </c>
      <c r="D85" s="304">
        <v>0.19</v>
      </c>
      <c r="E85" s="304">
        <v>0.38</v>
      </c>
      <c r="F85" s="304">
        <v>0.33</v>
      </c>
      <c r="G85" s="305">
        <v>0.47</v>
      </c>
      <c r="H85" s="306"/>
      <c r="I85" s="134" t="s">
        <v>16</v>
      </c>
      <c r="J85" s="303">
        <v>0.39</v>
      </c>
      <c r="K85" s="304">
        <v>0.37</v>
      </c>
      <c r="L85" s="304">
        <v>0.28</v>
      </c>
      <c r="M85" s="304">
        <v>0.39</v>
      </c>
      <c r="N85" s="304">
        <v>0.34</v>
      </c>
      <c r="O85" s="305">
        <v>0.4</v>
      </c>
      <c r="Q85" s="128" t="str">
        <f t="shared" si="10"/>
        <v>IACC</v>
      </c>
      <c r="R85" s="127">
        <f t="shared" si="11"/>
        <v>-0.10000000000000003</v>
      </c>
      <c r="S85" s="127">
        <f t="shared" si="11"/>
        <v>-0.03999999999999998</v>
      </c>
      <c r="T85" s="127">
        <f t="shared" si="11"/>
        <v>-0.09000000000000002</v>
      </c>
      <c r="U85" s="127">
        <f t="shared" si="11"/>
        <v>-0.010000000000000009</v>
      </c>
      <c r="V85" s="127">
        <f t="shared" si="11"/>
        <v>-0.010000000000000009</v>
      </c>
      <c r="W85" s="127">
        <f t="shared" si="11"/>
        <v>0.06999999999999995</v>
      </c>
    </row>
    <row r="86" spans="2:15" ht="12.75">
      <c r="B86" s="224"/>
      <c r="C86" s="225"/>
      <c r="D86" s="225"/>
      <c r="E86" s="224"/>
      <c r="F86" s="225"/>
      <c r="G86" s="225"/>
      <c r="H86" s="136"/>
      <c r="J86" s="224"/>
      <c r="K86" s="225"/>
      <c r="L86" s="225"/>
      <c r="M86" s="224"/>
      <c r="N86" s="225"/>
      <c r="O86" s="225"/>
    </row>
    <row r="87" spans="5:15" ht="12.75">
      <c r="E87" s="136"/>
      <c r="F87" s="136"/>
      <c r="G87" s="136"/>
      <c r="H87" s="136"/>
      <c r="M87" s="136"/>
      <c r="N87" s="136"/>
      <c r="O87" s="136"/>
    </row>
    <row r="88" spans="1:15" ht="12.75">
      <c r="A88" s="146"/>
      <c r="E88" s="136"/>
      <c r="F88" s="136"/>
      <c r="G88" s="136"/>
      <c r="H88" s="136"/>
      <c r="I88" s="146"/>
      <c r="M88" s="136"/>
      <c r="N88" s="136"/>
      <c r="O88" s="136"/>
    </row>
    <row r="89" spans="5:15" ht="12.75">
      <c r="E89" s="136"/>
      <c r="F89" s="136"/>
      <c r="G89" s="136"/>
      <c r="H89" s="136"/>
      <c r="M89" s="136"/>
      <c r="N89" s="136"/>
      <c r="O89" s="136"/>
    </row>
    <row r="90" spans="5:15" ht="12.75">
      <c r="E90" s="136"/>
      <c r="F90" s="136"/>
      <c r="G90" s="136"/>
      <c r="H90" s="136"/>
      <c r="M90" s="136"/>
      <c r="N90" s="136"/>
      <c r="O90" s="136"/>
    </row>
    <row r="91" spans="5:15" ht="12.75">
      <c r="E91" s="136"/>
      <c r="F91" s="136"/>
      <c r="G91" s="136"/>
      <c r="H91" s="136"/>
      <c r="M91" s="136"/>
      <c r="N91" s="136"/>
      <c r="O91" s="136"/>
    </row>
    <row r="92" spans="5:15" ht="12.75">
      <c r="E92" s="136"/>
      <c r="F92" s="136"/>
      <c r="G92" s="136"/>
      <c r="H92" s="136"/>
      <c r="M92" s="136"/>
      <c r="N92" s="136"/>
      <c r="O92" s="136"/>
    </row>
    <row r="93" spans="5:15" ht="12.75">
      <c r="E93" s="136"/>
      <c r="F93" s="136"/>
      <c r="G93" s="136"/>
      <c r="H93" s="136"/>
      <c r="M93" s="136"/>
      <c r="N93" s="136"/>
      <c r="O93" s="136"/>
    </row>
  </sheetData>
  <printOptions/>
  <pageMargins left="0.75" right="0.75" top="1" bottom="1" header="0.4921259845" footer="0.4921259845"/>
  <pageSetup fitToHeight="1" fitToWidth="1" horizontalDpi="300" verticalDpi="300" orientation="portrait" paperSize="9" scale="47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W93"/>
  <sheetViews>
    <sheetView zoomScale="75" zoomScaleNormal="75" workbookViewId="0" topLeftCell="A1">
      <selection activeCell="A1" sqref="A1"/>
    </sheetView>
  </sheetViews>
  <sheetFormatPr defaultColWidth="11.5546875" defaultRowHeight="15"/>
  <cols>
    <col min="1" max="1" width="7.77734375" style="128" customWidth="1"/>
    <col min="2" max="8" width="6.77734375" style="128" customWidth="1"/>
    <col min="9" max="9" width="8.4453125" style="128" customWidth="1"/>
    <col min="10" max="16" width="6.77734375" style="128" customWidth="1"/>
    <col min="17" max="17" width="11.5546875" style="128" customWidth="1" collapsed="1"/>
    <col min="18" max="16384" width="11.5546875" style="128" customWidth="1"/>
  </cols>
  <sheetData>
    <row r="1" spans="1:10" ht="13.5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2" ht="13.5" thickBot="1">
      <c r="A2" s="3"/>
      <c r="B2" s="4"/>
    </row>
    <row r="5" spans="1:7" ht="12.75">
      <c r="A5" s="150"/>
      <c r="B5" s="151"/>
      <c r="C5" s="151"/>
      <c r="D5" s="152"/>
      <c r="G5" s="150"/>
    </row>
    <row r="6" spans="1:3" ht="12" customHeight="1">
      <c r="A6" s="153"/>
      <c r="B6" s="151"/>
      <c r="C6" s="151"/>
    </row>
    <row r="7" spans="2:3" ht="12.75">
      <c r="B7" s="151"/>
      <c r="C7" s="151"/>
    </row>
    <row r="8" spans="1:3" ht="12.75">
      <c r="A8" s="150"/>
      <c r="B8" s="151"/>
      <c r="C8" s="151"/>
    </row>
    <row r="12" spans="1:2" ht="12.75">
      <c r="A12" s="82"/>
      <c r="B12" s="82"/>
    </row>
    <row r="14" spans="1:17" ht="12.75">
      <c r="A14" s="128" t="s">
        <v>27</v>
      </c>
      <c r="I14" s="128" t="s">
        <v>28</v>
      </c>
      <c r="Q14" s="128" t="s">
        <v>32</v>
      </c>
    </row>
    <row r="15" spans="1:18" ht="12.75">
      <c r="A15" s="155" t="s">
        <v>0</v>
      </c>
      <c r="B15" s="156" t="s">
        <v>1</v>
      </c>
      <c r="E15" s="136"/>
      <c r="F15" s="136"/>
      <c r="G15" s="136"/>
      <c r="H15" s="136"/>
      <c r="I15" s="155" t="s">
        <v>0</v>
      </c>
      <c r="J15" s="156" t="s">
        <v>1</v>
      </c>
      <c r="M15" s="136"/>
      <c r="N15" s="136"/>
      <c r="O15" s="136"/>
      <c r="Q15" s="128" t="str">
        <f>+A15</f>
        <v>125 Hz</v>
      </c>
      <c r="R15" s="128" t="str">
        <f>+B15</f>
        <v>octave</v>
      </c>
    </row>
    <row r="16" spans="1:23" ht="12.75">
      <c r="A16" s="142"/>
      <c r="B16" s="140" t="s">
        <v>2</v>
      </c>
      <c r="C16" s="140" t="s">
        <v>3</v>
      </c>
      <c r="D16" s="139" t="s">
        <v>4</v>
      </c>
      <c r="E16" s="139" t="s">
        <v>5</v>
      </c>
      <c r="F16" s="140" t="s">
        <v>6</v>
      </c>
      <c r="G16" s="139" t="s">
        <v>7</v>
      </c>
      <c r="H16" s="141"/>
      <c r="I16" s="142"/>
      <c r="J16" s="140" t="s">
        <v>2</v>
      </c>
      <c r="K16" s="140" t="s">
        <v>3</v>
      </c>
      <c r="L16" s="139" t="s">
        <v>4</v>
      </c>
      <c r="M16" s="139" t="s">
        <v>5</v>
      </c>
      <c r="N16" s="140" t="s">
        <v>6</v>
      </c>
      <c r="O16" s="139" t="s">
        <v>7</v>
      </c>
      <c r="P16" s="157"/>
      <c r="Q16" s="128">
        <f>+A16</f>
        <v>0</v>
      </c>
      <c r="R16" s="128" t="str">
        <f>+B16</f>
        <v>S1R1</v>
      </c>
      <c r="S16" s="128" t="str">
        <f>+C16</f>
        <v>S1R2</v>
      </c>
      <c r="T16" s="128" t="str">
        <f>+D16</f>
        <v>S1R3</v>
      </c>
      <c r="U16" s="128" t="str">
        <f>+E16</f>
        <v>S2R1</v>
      </c>
      <c r="V16" s="128" t="str">
        <f>+F16</f>
        <v>S2R2</v>
      </c>
      <c r="W16" s="128" t="str">
        <f>+G16</f>
        <v>S2R3</v>
      </c>
    </row>
    <row r="17" spans="1:23" ht="12.75">
      <c r="A17" s="130" t="s">
        <v>8</v>
      </c>
      <c r="B17" s="145">
        <v>0.71</v>
      </c>
      <c r="C17" s="143">
        <v>0.63</v>
      </c>
      <c r="D17" s="200">
        <v>0.6</v>
      </c>
      <c r="E17" s="125">
        <v>0.64</v>
      </c>
      <c r="F17" s="143">
        <v>0.53</v>
      </c>
      <c r="G17" s="144">
        <v>0.69</v>
      </c>
      <c r="H17" s="125"/>
      <c r="I17" s="130" t="s">
        <v>8</v>
      </c>
      <c r="J17" s="145">
        <v>0.73</v>
      </c>
      <c r="K17" s="143">
        <v>0.73</v>
      </c>
      <c r="L17" s="143">
        <v>0.67</v>
      </c>
      <c r="M17" s="125">
        <v>0.57</v>
      </c>
      <c r="N17" s="143">
        <v>0.61</v>
      </c>
      <c r="O17" s="144">
        <v>0.58</v>
      </c>
      <c r="P17" s="158"/>
      <c r="Q17" s="128" t="str">
        <f aca="true" t="shared" si="0" ref="Q17:Q25">+A17</f>
        <v>T30/s</v>
      </c>
      <c r="R17" s="127">
        <f aca="true" t="shared" si="1" ref="R17:W25">+B17-J17</f>
        <v>-0.020000000000000018</v>
      </c>
      <c r="S17" s="127">
        <f t="shared" si="1"/>
        <v>-0.09999999999999998</v>
      </c>
      <c r="T17" s="127">
        <f t="shared" si="1"/>
        <v>-0.07000000000000006</v>
      </c>
      <c r="U17" s="127">
        <f t="shared" si="1"/>
        <v>0.07000000000000006</v>
      </c>
      <c r="V17" s="127">
        <f t="shared" si="1"/>
        <v>-0.07999999999999996</v>
      </c>
      <c r="W17" s="127">
        <f t="shared" si="1"/>
        <v>0.10999999999999999</v>
      </c>
    </row>
    <row r="18" spans="1:23" ht="12.75">
      <c r="A18" s="130" t="s">
        <v>9</v>
      </c>
      <c r="B18" s="131">
        <v>0.68</v>
      </c>
      <c r="C18" s="125">
        <v>0.66</v>
      </c>
      <c r="D18" s="125">
        <v>0.77</v>
      </c>
      <c r="E18" s="125">
        <v>0.59</v>
      </c>
      <c r="F18" s="125">
        <v>0.71</v>
      </c>
      <c r="G18" s="129">
        <v>0.62</v>
      </c>
      <c r="H18" s="125"/>
      <c r="I18" s="130" t="s">
        <v>9</v>
      </c>
      <c r="J18" s="131">
        <v>0.67</v>
      </c>
      <c r="K18" s="125">
        <v>0.64</v>
      </c>
      <c r="L18" s="125">
        <v>0.73</v>
      </c>
      <c r="M18" s="125">
        <v>0.56</v>
      </c>
      <c r="N18" s="125">
        <v>0.65</v>
      </c>
      <c r="O18" s="129">
        <v>0.58</v>
      </c>
      <c r="P18" s="158"/>
      <c r="Q18" s="128" t="str">
        <f t="shared" si="0"/>
        <v>EDT/s</v>
      </c>
      <c r="R18" s="127">
        <f t="shared" si="1"/>
        <v>0.010000000000000009</v>
      </c>
      <c r="S18" s="127">
        <f t="shared" si="1"/>
        <v>0.020000000000000018</v>
      </c>
      <c r="T18" s="127">
        <f t="shared" si="1"/>
        <v>0.040000000000000036</v>
      </c>
      <c r="U18" s="127">
        <f t="shared" si="1"/>
        <v>0.029999999999999916</v>
      </c>
      <c r="V18" s="127">
        <f t="shared" si="1"/>
        <v>0.05999999999999994</v>
      </c>
      <c r="W18" s="127">
        <f t="shared" si="1"/>
        <v>0.040000000000000036</v>
      </c>
    </row>
    <row r="19" spans="1:23" ht="12.75">
      <c r="A19" s="130" t="s">
        <v>10</v>
      </c>
      <c r="B19" s="131">
        <v>65</v>
      </c>
      <c r="C19" s="125">
        <v>68</v>
      </c>
      <c r="D19" s="125">
        <v>59</v>
      </c>
      <c r="E19" s="125">
        <v>71</v>
      </c>
      <c r="F19" s="125">
        <v>62</v>
      </c>
      <c r="G19" s="129">
        <v>72</v>
      </c>
      <c r="H19" s="125"/>
      <c r="I19" s="130" t="s">
        <v>10</v>
      </c>
      <c r="J19" s="131">
        <v>66</v>
      </c>
      <c r="K19" s="125">
        <v>69</v>
      </c>
      <c r="L19" s="125">
        <v>61</v>
      </c>
      <c r="M19" s="125">
        <v>73</v>
      </c>
      <c r="N19" s="125">
        <v>65</v>
      </c>
      <c r="O19" s="129">
        <v>73</v>
      </c>
      <c r="P19" s="158"/>
      <c r="Q19" s="128" t="str">
        <f t="shared" si="0"/>
        <v>D/%</v>
      </c>
      <c r="R19" s="127">
        <f t="shared" si="1"/>
        <v>-1</v>
      </c>
      <c r="S19" s="127">
        <f t="shared" si="1"/>
        <v>-1</v>
      </c>
      <c r="T19" s="127">
        <f t="shared" si="1"/>
        <v>-2</v>
      </c>
      <c r="U19" s="127">
        <f t="shared" si="1"/>
        <v>-2</v>
      </c>
      <c r="V19" s="127">
        <f t="shared" si="1"/>
        <v>-3</v>
      </c>
      <c r="W19" s="127">
        <f t="shared" si="1"/>
        <v>-1</v>
      </c>
    </row>
    <row r="20" spans="1:23" ht="12.75">
      <c r="A20" s="130" t="s">
        <v>11</v>
      </c>
      <c r="B20" s="131">
        <v>6.3</v>
      </c>
      <c r="C20" s="125">
        <v>6.7</v>
      </c>
      <c r="D20" s="125">
        <v>5.2</v>
      </c>
      <c r="E20" s="125">
        <v>7.7</v>
      </c>
      <c r="F20" s="125">
        <v>5.8</v>
      </c>
      <c r="G20" s="129">
        <v>7.5</v>
      </c>
      <c r="H20" s="125"/>
      <c r="I20" s="130" t="s">
        <v>11</v>
      </c>
      <c r="J20" s="131">
        <v>6.8</v>
      </c>
      <c r="K20" s="125">
        <v>6.7</v>
      </c>
      <c r="L20" s="125">
        <v>5.6</v>
      </c>
      <c r="M20" s="205">
        <v>8</v>
      </c>
      <c r="N20" s="125">
        <v>6.7</v>
      </c>
      <c r="O20" s="129">
        <v>8.1</v>
      </c>
      <c r="P20" s="158"/>
      <c r="Q20" s="128" t="str">
        <f t="shared" si="0"/>
        <v>C/dB</v>
      </c>
      <c r="R20" s="127">
        <f t="shared" si="1"/>
        <v>-0.5</v>
      </c>
      <c r="S20" s="127">
        <f t="shared" si="1"/>
        <v>0</v>
      </c>
      <c r="T20" s="127">
        <f t="shared" si="1"/>
        <v>-0.39999999999999947</v>
      </c>
      <c r="U20" s="127">
        <f t="shared" si="1"/>
        <v>-0.2999999999999998</v>
      </c>
      <c r="V20" s="127">
        <f t="shared" si="1"/>
        <v>-0.9000000000000004</v>
      </c>
      <c r="W20" s="127">
        <f t="shared" si="1"/>
        <v>-0.5999999999999996</v>
      </c>
    </row>
    <row r="21" spans="1:23" ht="12.75">
      <c r="A21" s="130" t="s">
        <v>12</v>
      </c>
      <c r="B21" s="131">
        <v>41</v>
      </c>
      <c r="C21" s="125">
        <v>35</v>
      </c>
      <c r="D21" s="125">
        <v>49</v>
      </c>
      <c r="E21" s="125">
        <v>33</v>
      </c>
      <c r="F21" s="125">
        <v>44</v>
      </c>
      <c r="G21" s="129">
        <v>33</v>
      </c>
      <c r="H21" s="125"/>
      <c r="I21" s="130" t="s">
        <v>12</v>
      </c>
      <c r="J21" s="131">
        <v>40</v>
      </c>
      <c r="K21" s="125">
        <v>35</v>
      </c>
      <c r="L21" s="125">
        <v>46</v>
      </c>
      <c r="M21" s="125">
        <v>32</v>
      </c>
      <c r="N21" s="125">
        <v>40</v>
      </c>
      <c r="O21" s="129">
        <v>32</v>
      </c>
      <c r="P21" s="158"/>
      <c r="Q21" s="128" t="str">
        <f t="shared" si="0"/>
        <v>TS/ms</v>
      </c>
      <c r="R21" s="127">
        <f t="shared" si="1"/>
        <v>1</v>
      </c>
      <c r="S21" s="127">
        <f t="shared" si="1"/>
        <v>0</v>
      </c>
      <c r="T21" s="127">
        <f t="shared" si="1"/>
        <v>3</v>
      </c>
      <c r="U21" s="127">
        <f t="shared" si="1"/>
        <v>1</v>
      </c>
      <c r="V21" s="127">
        <f t="shared" si="1"/>
        <v>4</v>
      </c>
      <c r="W21" s="127">
        <f t="shared" si="1"/>
        <v>1</v>
      </c>
    </row>
    <row r="22" spans="1:23" ht="12.75">
      <c r="A22" s="130" t="s">
        <v>13</v>
      </c>
      <c r="B22" s="131">
        <v>14.9</v>
      </c>
      <c r="C22" s="125">
        <v>15.6</v>
      </c>
      <c r="D22" s="125">
        <v>14.5</v>
      </c>
      <c r="E22" s="125">
        <v>16.2</v>
      </c>
      <c r="F22" s="125">
        <v>14.8</v>
      </c>
      <c r="G22" s="129">
        <v>16.4</v>
      </c>
      <c r="H22" s="125"/>
      <c r="I22" s="130" t="s">
        <v>13</v>
      </c>
      <c r="J22" s="204">
        <v>15</v>
      </c>
      <c r="K22" s="125">
        <v>15.9</v>
      </c>
      <c r="L22" s="125">
        <v>14.6</v>
      </c>
      <c r="M22" s="125">
        <v>16.4</v>
      </c>
      <c r="N22" s="125">
        <v>14.9</v>
      </c>
      <c r="O22" s="129">
        <v>16.7</v>
      </c>
      <c r="P22" s="158"/>
      <c r="Q22" s="128" t="str">
        <f t="shared" si="0"/>
        <v>G/dB</v>
      </c>
      <c r="R22" s="127">
        <f t="shared" si="1"/>
        <v>-0.09999999999999964</v>
      </c>
      <c r="S22" s="127">
        <f t="shared" si="1"/>
        <v>-0.3000000000000007</v>
      </c>
      <c r="T22" s="127">
        <f t="shared" si="1"/>
        <v>-0.09999999999999964</v>
      </c>
      <c r="U22" s="127">
        <f t="shared" si="1"/>
        <v>-0.1999999999999993</v>
      </c>
      <c r="V22" s="127">
        <f t="shared" si="1"/>
        <v>-0.09999999999999964</v>
      </c>
      <c r="W22" s="127">
        <f t="shared" si="1"/>
        <v>-0.3000000000000007</v>
      </c>
    </row>
    <row r="23" spans="1:23" ht="12.75">
      <c r="A23" s="130" t="s">
        <v>14</v>
      </c>
      <c r="B23" s="131">
        <v>23.5</v>
      </c>
      <c r="C23" s="125">
        <v>7.9</v>
      </c>
      <c r="D23" s="125">
        <v>15.4</v>
      </c>
      <c r="E23" s="125">
        <v>10.4</v>
      </c>
      <c r="F23" s="205">
        <v>21</v>
      </c>
      <c r="G23" s="129">
        <v>19.5</v>
      </c>
      <c r="H23" s="125"/>
      <c r="I23" s="130" t="s">
        <v>14</v>
      </c>
      <c r="J23" s="131">
        <v>22.6</v>
      </c>
      <c r="K23" s="205">
        <v>8</v>
      </c>
      <c r="L23" s="125">
        <v>16.1</v>
      </c>
      <c r="M23" s="125">
        <v>13.1</v>
      </c>
      <c r="N23" s="125">
        <v>22.7</v>
      </c>
      <c r="O23" s="206">
        <v>21</v>
      </c>
      <c r="Q23" s="128" t="str">
        <f t="shared" si="0"/>
        <v>LF/%</v>
      </c>
      <c r="R23" s="127">
        <f t="shared" si="1"/>
        <v>0.8999999999999986</v>
      </c>
      <c r="S23" s="127">
        <f t="shared" si="1"/>
        <v>-0.09999999999999964</v>
      </c>
      <c r="T23" s="127">
        <f t="shared" si="1"/>
        <v>-0.7000000000000011</v>
      </c>
      <c r="U23" s="127">
        <f t="shared" si="1"/>
        <v>-2.6999999999999993</v>
      </c>
      <c r="V23" s="127">
        <f t="shared" si="1"/>
        <v>-1.6999999999999993</v>
      </c>
      <c r="W23" s="127">
        <f t="shared" si="1"/>
        <v>-1.5</v>
      </c>
    </row>
    <row r="24" spans="1:23" ht="12.75">
      <c r="A24" s="130" t="s">
        <v>15</v>
      </c>
      <c r="B24" s="131"/>
      <c r="C24" s="125"/>
      <c r="D24" s="125"/>
      <c r="E24" s="125"/>
      <c r="F24" s="125"/>
      <c r="G24" s="129"/>
      <c r="H24" s="125"/>
      <c r="I24" s="130" t="s">
        <v>15</v>
      </c>
      <c r="J24" s="131"/>
      <c r="K24" s="125"/>
      <c r="L24" s="125"/>
      <c r="M24" s="125"/>
      <c r="N24" s="125"/>
      <c r="O24" s="129"/>
      <c r="Q24" s="128" t="str">
        <f t="shared" si="0"/>
        <v>LFC/%</v>
      </c>
      <c r="R24" s="127">
        <f t="shared" si="1"/>
        <v>0</v>
      </c>
      <c r="S24" s="127">
        <f t="shared" si="1"/>
        <v>0</v>
      </c>
      <c r="T24" s="127">
        <f t="shared" si="1"/>
        <v>0</v>
      </c>
      <c r="U24" s="127">
        <f t="shared" si="1"/>
        <v>0</v>
      </c>
      <c r="V24" s="127">
        <f t="shared" si="1"/>
        <v>0</v>
      </c>
      <c r="W24" s="127">
        <f t="shared" si="1"/>
        <v>0</v>
      </c>
    </row>
    <row r="25" spans="1:23" ht="12.75">
      <c r="A25" s="134" t="s">
        <v>16</v>
      </c>
      <c r="B25" s="135"/>
      <c r="C25" s="132"/>
      <c r="D25" s="132"/>
      <c r="E25" s="132"/>
      <c r="F25" s="132"/>
      <c r="G25" s="133"/>
      <c r="H25" s="125"/>
      <c r="I25" s="134" t="s">
        <v>16</v>
      </c>
      <c r="J25" s="135"/>
      <c r="K25" s="132"/>
      <c r="L25" s="132"/>
      <c r="M25" s="132"/>
      <c r="N25" s="132"/>
      <c r="O25" s="133"/>
      <c r="Q25" s="128" t="str">
        <f t="shared" si="0"/>
        <v>IACC</v>
      </c>
      <c r="R25" s="127">
        <f t="shared" si="1"/>
        <v>0</v>
      </c>
      <c r="S25" s="127">
        <f t="shared" si="1"/>
        <v>0</v>
      </c>
      <c r="T25" s="127">
        <f t="shared" si="1"/>
        <v>0</v>
      </c>
      <c r="U25" s="127">
        <f t="shared" si="1"/>
        <v>0</v>
      </c>
      <c r="V25" s="127">
        <f t="shared" si="1"/>
        <v>0</v>
      </c>
      <c r="W25" s="127">
        <f t="shared" si="1"/>
        <v>0</v>
      </c>
    </row>
    <row r="26" spans="5:15" ht="12.75">
      <c r="E26" s="136"/>
      <c r="F26" s="136"/>
      <c r="G26" s="136"/>
      <c r="H26" s="136"/>
      <c r="M26" s="136"/>
      <c r="N26" s="136"/>
      <c r="O26" s="136"/>
    </row>
    <row r="27" spans="1:18" ht="12.75">
      <c r="A27" s="155" t="s">
        <v>17</v>
      </c>
      <c r="B27" s="156" t="s">
        <v>1</v>
      </c>
      <c r="E27" s="136"/>
      <c r="F27" s="136"/>
      <c r="G27" s="136"/>
      <c r="H27" s="136"/>
      <c r="I27" s="155" t="s">
        <v>17</v>
      </c>
      <c r="J27" s="156" t="s">
        <v>1</v>
      </c>
      <c r="M27" s="136"/>
      <c r="N27" s="136"/>
      <c r="O27" s="136"/>
      <c r="Q27" s="128" t="str">
        <f>+A27</f>
        <v>250 Hz</v>
      </c>
      <c r="R27" s="128" t="str">
        <f>+B27</f>
        <v>octave</v>
      </c>
    </row>
    <row r="28" spans="1:23" ht="12.75">
      <c r="A28" s="142"/>
      <c r="B28" s="140" t="s">
        <v>2</v>
      </c>
      <c r="C28" s="140" t="s">
        <v>3</v>
      </c>
      <c r="D28" s="139" t="s">
        <v>4</v>
      </c>
      <c r="E28" s="139" t="s">
        <v>5</v>
      </c>
      <c r="F28" s="140" t="s">
        <v>6</v>
      </c>
      <c r="G28" s="139" t="s">
        <v>7</v>
      </c>
      <c r="H28" s="141"/>
      <c r="I28" s="142"/>
      <c r="J28" s="140" t="s">
        <v>2</v>
      </c>
      <c r="K28" s="140" t="s">
        <v>3</v>
      </c>
      <c r="L28" s="139" t="s">
        <v>4</v>
      </c>
      <c r="M28" s="139" t="s">
        <v>5</v>
      </c>
      <c r="N28" s="140" t="s">
        <v>6</v>
      </c>
      <c r="O28" s="139" t="s">
        <v>7</v>
      </c>
      <c r="Q28" s="128">
        <f>+A28</f>
        <v>0</v>
      </c>
      <c r="R28" s="128" t="str">
        <f>+B28</f>
        <v>S1R1</v>
      </c>
      <c r="S28" s="128" t="str">
        <f>+C28</f>
        <v>S1R2</v>
      </c>
      <c r="T28" s="128" t="str">
        <f>+D28</f>
        <v>S1R3</v>
      </c>
      <c r="U28" s="128" t="str">
        <f>+E28</f>
        <v>S2R1</v>
      </c>
      <c r="V28" s="128" t="str">
        <f>+F28</f>
        <v>S2R2</v>
      </c>
      <c r="W28" s="128" t="str">
        <f>+G28</f>
        <v>S2R3</v>
      </c>
    </row>
    <row r="29" spans="1:23" ht="12.75">
      <c r="A29" s="130" t="s">
        <v>8</v>
      </c>
      <c r="B29" s="145">
        <v>0.95</v>
      </c>
      <c r="C29" s="143">
        <v>1.07</v>
      </c>
      <c r="D29" s="143">
        <v>0.95</v>
      </c>
      <c r="E29" s="181">
        <v>1</v>
      </c>
      <c r="F29" s="143">
        <v>0.93</v>
      </c>
      <c r="G29" s="144">
        <v>0.91</v>
      </c>
      <c r="H29" s="125"/>
      <c r="I29" s="130" t="s">
        <v>8</v>
      </c>
      <c r="J29" s="145">
        <v>0.77</v>
      </c>
      <c r="K29" s="143">
        <v>0.74</v>
      </c>
      <c r="L29" s="143">
        <v>0.87</v>
      </c>
      <c r="M29" s="181">
        <v>0.8</v>
      </c>
      <c r="N29" s="143">
        <v>0.75</v>
      </c>
      <c r="O29" s="144">
        <v>0.68</v>
      </c>
      <c r="Q29" s="128" t="str">
        <f aca="true" t="shared" si="2" ref="Q29:Q37">+A29</f>
        <v>T30/s</v>
      </c>
      <c r="R29" s="127">
        <f aca="true" t="shared" si="3" ref="R29:W37">+B29-J29</f>
        <v>0.17999999999999994</v>
      </c>
      <c r="S29" s="127">
        <f t="shared" si="3"/>
        <v>0.33000000000000007</v>
      </c>
      <c r="T29" s="127">
        <f t="shared" si="3"/>
        <v>0.07999999999999996</v>
      </c>
      <c r="U29" s="127">
        <f t="shared" si="3"/>
        <v>0.19999999999999996</v>
      </c>
      <c r="V29" s="127">
        <f t="shared" si="3"/>
        <v>0.18000000000000005</v>
      </c>
      <c r="W29" s="127">
        <f t="shared" si="3"/>
        <v>0.22999999999999998</v>
      </c>
    </row>
    <row r="30" spans="1:23" ht="12.75">
      <c r="A30" s="130" t="s">
        <v>9</v>
      </c>
      <c r="B30" s="131">
        <v>1.01</v>
      </c>
      <c r="C30" s="181">
        <v>1</v>
      </c>
      <c r="D30" s="125">
        <v>1.09</v>
      </c>
      <c r="E30" s="125">
        <v>0.94</v>
      </c>
      <c r="F30" s="125">
        <v>1.03</v>
      </c>
      <c r="G30" s="129">
        <v>0.93</v>
      </c>
      <c r="H30" s="125"/>
      <c r="I30" s="130" t="s">
        <v>9</v>
      </c>
      <c r="J30" s="131">
        <v>0.85</v>
      </c>
      <c r="K30" s="125">
        <v>0.81</v>
      </c>
      <c r="L30" s="125">
        <v>0.92</v>
      </c>
      <c r="M30" s="125">
        <v>0.76</v>
      </c>
      <c r="N30" s="125">
        <v>0.87</v>
      </c>
      <c r="O30" s="203">
        <v>0.8</v>
      </c>
      <c r="Q30" s="128" t="str">
        <f t="shared" si="2"/>
        <v>EDT/s</v>
      </c>
      <c r="R30" s="127">
        <f t="shared" si="3"/>
        <v>0.16000000000000003</v>
      </c>
      <c r="S30" s="127">
        <f t="shared" si="3"/>
        <v>0.18999999999999995</v>
      </c>
      <c r="T30" s="127">
        <f t="shared" si="3"/>
        <v>0.17000000000000004</v>
      </c>
      <c r="U30" s="127">
        <f t="shared" si="3"/>
        <v>0.17999999999999994</v>
      </c>
      <c r="V30" s="127">
        <f t="shared" si="3"/>
        <v>0.16000000000000003</v>
      </c>
      <c r="W30" s="127">
        <f t="shared" si="3"/>
        <v>0.13</v>
      </c>
    </row>
    <row r="31" spans="1:23" ht="12.75">
      <c r="A31" s="130" t="s">
        <v>10</v>
      </c>
      <c r="B31" s="131">
        <v>48</v>
      </c>
      <c r="C31" s="125">
        <v>51</v>
      </c>
      <c r="D31" s="125">
        <v>42</v>
      </c>
      <c r="E31" s="125">
        <v>55</v>
      </c>
      <c r="F31" s="125">
        <v>45</v>
      </c>
      <c r="G31" s="129">
        <v>53</v>
      </c>
      <c r="H31" s="125"/>
      <c r="I31" s="130" t="s">
        <v>10</v>
      </c>
      <c r="J31" s="131">
        <v>55</v>
      </c>
      <c r="K31" s="125">
        <v>56</v>
      </c>
      <c r="L31" s="125">
        <v>48</v>
      </c>
      <c r="M31" s="125">
        <v>62</v>
      </c>
      <c r="N31" s="125">
        <v>51</v>
      </c>
      <c r="O31" s="129">
        <v>61</v>
      </c>
      <c r="Q31" s="128" t="str">
        <f t="shared" si="2"/>
        <v>D/%</v>
      </c>
      <c r="R31" s="127">
        <f t="shared" si="3"/>
        <v>-7</v>
      </c>
      <c r="S31" s="127">
        <f t="shared" si="3"/>
        <v>-5</v>
      </c>
      <c r="T31" s="127">
        <f t="shared" si="3"/>
        <v>-6</v>
      </c>
      <c r="U31" s="127">
        <f t="shared" si="3"/>
        <v>-7</v>
      </c>
      <c r="V31" s="127">
        <f t="shared" si="3"/>
        <v>-6</v>
      </c>
      <c r="W31" s="127">
        <f t="shared" si="3"/>
        <v>-8</v>
      </c>
    </row>
    <row r="32" spans="1:23" ht="12.75">
      <c r="A32" s="130" t="s">
        <v>11</v>
      </c>
      <c r="B32" s="204">
        <v>3</v>
      </c>
      <c r="C32" s="125">
        <v>3.1</v>
      </c>
      <c r="D32" s="205">
        <v>2</v>
      </c>
      <c r="E32" s="125">
        <v>3.9</v>
      </c>
      <c r="F32" s="125">
        <v>2.7</v>
      </c>
      <c r="G32" s="129">
        <v>3.7</v>
      </c>
      <c r="H32" s="125"/>
      <c r="I32" s="130" t="s">
        <v>11</v>
      </c>
      <c r="J32" s="131">
        <v>4.4</v>
      </c>
      <c r="K32" s="125">
        <v>4.4</v>
      </c>
      <c r="L32" s="125">
        <v>3.3</v>
      </c>
      <c r="M32" s="125">
        <v>5.4</v>
      </c>
      <c r="N32" s="125">
        <v>3.8</v>
      </c>
      <c r="O32" s="129">
        <v>5.2</v>
      </c>
      <c r="Q32" s="128" t="str">
        <f t="shared" si="2"/>
        <v>C/dB</v>
      </c>
      <c r="R32" s="127">
        <f t="shared" si="3"/>
        <v>-1.4000000000000004</v>
      </c>
      <c r="S32" s="127">
        <f t="shared" si="3"/>
        <v>-1.3000000000000003</v>
      </c>
      <c r="T32" s="127">
        <f t="shared" si="3"/>
        <v>-1.2999999999999998</v>
      </c>
      <c r="U32" s="127">
        <f t="shared" si="3"/>
        <v>-1.5000000000000004</v>
      </c>
      <c r="V32" s="127">
        <f t="shared" si="3"/>
        <v>-1.0999999999999996</v>
      </c>
      <c r="W32" s="127">
        <f t="shared" si="3"/>
        <v>-1.5</v>
      </c>
    </row>
    <row r="33" spans="1:23" ht="12.75">
      <c r="A33" s="130" t="s">
        <v>12</v>
      </c>
      <c r="B33" s="131">
        <v>69</v>
      </c>
      <c r="C33" s="125">
        <v>65</v>
      </c>
      <c r="D33" s="125">
        <v>78</v>
      </c>
      <c r="E33" s="125">
        <v>60</v>
      </c>
      <c r="F33" s="125">
        <v>73</v>
      </c>
      <c r="G33" s="129">
        <v>62</v>
      </c>
      <c r="H33" s="125"/>
      <c r="I33" s="130" t="s">
        <v>12</v>
      </c>
      <c r="J33" s="131">
        <v>56</v>
      </c>
      <c r="K33" s="125">
        <v>53</v>
      </c>
      <c r="L33" s="125">
        <v>65</v>
      </c>
      <c r="M33" s="125">
        <v>48</v>
      </c>
      <c r="N33" s="125">
        <v>60</v>
      </c>
      <c r="O33" s="129">
        <v>50</v>
      </c>
      <c r="Q33" s="128" t="str">
        <f t="shared" si="2"/>
        <v>TS/ms</v>
      </c>
      <c r="R33" s="127">
        <f t="shared" si="3"/>
        <v>13</v>
      </c>
      <c r="S33" s="127">
        <f t="shared" si="3"/>
        <v>12</v>
      </c>
      <c r="T33" s="127">
        <f t="shared" si="3"/>
        <v>13</v>
      </c>
      <c r="U33" s="127">
        <f t="shared" si="3"/>
        <v>12</v>
      </c>
      <c r="V33" s="127">
        <f t="shared" si="3"/>
        <v>13</v>
      </c>
      <c r="W33" s="127">
        <f t="shared" si="3"/>
        <v>12</v>
      </c>
    </row>
    <row r="34" spans="1:23" ht="12.75">
      <c r="A34" s="130" t="s">
        <v>13</v>
      </c>
      <c r="B34" s="131">
        <v>17.5</v>
      </c>
      <c r="C34" s="125">
        <v>17.8</v>
      </c>
      <c r="D34" s="125">
        <v>17.2</v>
      </c>
      <c r="E34" s="125">
        <v>18.2</v>
      </c>
      <c r="F34" s="125">
        <v>17.4</v>
      </c>
      <c r="G34" s="129">
        <v>18.6</v>
      </c>
      <c r="H34" s="125"/>
      <c r="I34" s="130" t="s">
        <v>13</v>
      </c>
      <c r="J34" s="131">
        <v>16.7</v>
      </c>
      <c r="K34" s="125">
        <v>17.4</v>
      </c>
      <c r="L34" s="125">
        <v>16.5</v>
      </c>
      <c r="M34" s="205">
        <v>18</v>
      </c>
      <c r="N34" s="125">
        <v>16.9</v>
      </c>
      <c r="O34" s="129">
        <v>18.2</v>
      </c>
      <c r="Q34" s="128" t="str">
        <f t="shared" si="2"/>
        <v>G/dB</v>
      </c>
      <c r="R34" s="127">
        <f t="shared" si="3"/>
        <v>0.8000000000000007</v>
      </c>
      <c r="S34" s="127">
        <f t="shared" si="3"/>
        <v>0.40000000000000213</v>
      </c>
      <c r="T34" s="127">
        <f t="shared" si="3"/>
        <v>0.6999999999999993</v>
      </c>
      <c r="U34" s="127">
        <f t="shared" si="3"/>
        <v>0.1999999999999993</v>
      </c>
      <c r="V34" s="127">
        <f t="shared" si="3"/>
        <v>0.5</v>
      </c>
      <c r="W34" s="127">
        <f t="shared" si="3"/>
        <v>0.40000000000000213</v>
      </c>
    </row>
    <row r="35" spans="1:23" ht="12.75">
      <c r="A35" s="130" t="s">
        <v>14</v>
      </c>
      <c r="B35" s="131">
        <v>28.5</v>
      </c>
      <c r="C35" s="205">
        <v>13</v>
      </c>
      <c r="D35" s="125">
        <v>18.8</v>
      </c>
      <c r="E35" s="125">
        <v>15.4</v>
      </c>
      <c r="F35" s="125">
        <v>26.3</v>
      </c>
      <c r="G35" s="129">
        <v>23.8</v>
      </c>
      <c r="H35" s="125"/>
      <c r="I35" s="130" t="s">
        <v>14</v>
      </c>
      <c r="J35" s="131">
        <v>25.3</v>
      </c>
      <c r="K35" s="125">
        <v>13.1</v>
      </c>
      <c r="L35" s="125">
        <v>20.1</v>
      </c>
      <c r="M35" s="125">
        <v>19.2</v>
      </c>
      <c r="N35" s="125">
        <v>25.4</v>
      </c>
      <c r="O35" s="129">
        <v>23.9</v>
      </c>
      <c r="Q35" s="128" t="str">
        <f t="shared" si="2"/>
        <v>LF/%</v>
      </c>
      <c r="R35" s="127">
        <f t="shared" si="3"/>
        <v>3.1999999999999993</v>
      </c>
      <c r="S35" s="127">
        <f t="shared" si="3"/>
        <v>-0.09999999999999964</v>
      </c>
      <c r="T35" s="127">
        <f t="shared" si="3"/>
        <v>-1.3000000000000007</v>
      </c>
      <c r="U35" s="127">
        <f t="shared" si="3"/>
        <v>-3.799999999999999</v>
      </c>
      <c r="V35" s="127">
        <f t="shared" si="3"/>
        <v>0.9000000000000021</v>
      </c>
      <c r="W35" s="127">
        <f t="shared" si="3"/>
        <v>-0.09999999999999787</v>
      </c>
    </row>
    <row r="36" spans="1:23" ht="12.75">
      <c r="A36" s="130" t="s">
        <v>15</v>
      </c>
      <c r="B36" s="131"/>
      <c r="C36" s="125"/>
      <c r="D36" s="125"/>
      <c r="E36" s="125"/>
      <c r="F36" s="125"/>
      <c r="G36" s="129"/>
      <c r="H36" s="125"/>
      <c r="I36" s="130" t="s">
        <v>15</v>
      </c>
      <c r="J36" s="131"/>
      <c r="K36" s="125"/>
      <c r="L36" s="125"/>
      <c r="M36" s="125"/>
      <c r="N36" s="125"/>
      <c r="O36" s="129"/>
      <c r="Q36" s="128" t="str">
        <f t="shared" si="2"/>
        <v>LFC/%</v>
      </c>
      <c r="R36" s="127">
        <f t="shared" si="3"/>
        <v>0</v>
      </c>
      <c r="S36" s="127">
        <f t="shared" si="3"/>
        <v>0</v>
      </c>
      <c r="T36" s="127">
        <f t="shared" si="3"/>
        <v>0</v>
      </c>
      <c r="U36" s="127">
        <f t="shared" si="3"/>
        <v>0</v>
      </c>
      <c r="V36" s="127">
        <f t="shared" si="3"/>
        <v>0</v>
      </c>
      <c r="W36" s="127">
        <f t="shared" si="3"/>
        <v>0</v>
      </c>
    </row>
    <row r="37" spans="1:23" ht="12.75">
      <c r="A37" s="134" t="s">
        <v>16</v>
      </c>
      <c r="B37" s="135"/>
      <c r="C37" s="132"/>
      <c r="D37" s="132"/>
      <c r="E37" s="132"/>
      <c r="F37" s="132"/>
      <c r="G37" s="133"/>
      <c r="H37" s="125"/>
      <c r="I37" s="134" t="s">
        <v>16</v>
      </c>
      <c r="J37" s="135"/>
      <c r="K37" s="132"/>
      <c r="L37" s="132"/>
      <c r="M37" s="132"/>
      <c r="N37" s="132"/>
      <c r="O37" s="133"/>
      <c r="Q37" s="128" t="str">
        <f t="shared" si="2"/>
        <v>IACC</v>
      </c>
      <c r="R37" s="127">
        <f t="shared" si="3"/>
        <v>0</v>
      </c>
      <c r="S37" s="127">
        <f t="shared" si="3"/>
        <v>0</v>
      </c>
      <c r="T37" s="127">
        <f t="shared" si="3"/>
        <v>0</v>
      </c>
      <c r="U37" s="127">
        <f t="shared" si="3"/>
        <v>0</v>
      </c>
      <c r="V37" s="127">
        <f t="shared" si="3"/>
        <v>0</v>
      </c>
      <c r="W37" s="127">
        <f t="shared" si="3"/>
        <v>0</v>
      </c>
    </row>
    <row r="38" spans="5:15" ht="12.75">
      <c r="E38" s="136"/>
      <c r="F38" s="136"/>
      <c r="G38" s="136"/>
      <c r="H38" s="136"/>
      <c r="M38" s="136"/>
      <c r="N38" s="136"/>
      <c r="O38" s="136"/>
    </row>
    <row r="39" spans="1:18" ht="12.75">
      <c r="A39" s="155" t="s">
        <v>18</v>
      </c>
      <c r="B39" s="156" t="s">
        <v>1</v>
      </c>
      <c r="E39" s="136"/>
      <c r="F39" s="136"/>
      <c r="G39" s="136"/>
      <c r="H39" s="136"/>
      <c r="I39" s="155" t="s">
        <v>18</v>
      </c>
      <c r="J39" s="156" t="s">
        <v>1</v>
      </c>
      <c r="M39" s="136"/>
      <c r="N39" s="136"/>
      <c r="O39" s="136"/>
      <c r="Q39" s="128" t="str">
        <f>+A39</f>
        <v>500 Hz</v>
      </c>
      <c r="R39" s="128" t="str">
        <f>+B39</f>
        <v>octave</v>
      </c>
    </row>
    <row r="40" spans="1:23" ht="12.75">
      <c r="A40" s="142"/>
      <c r="B40" s="140" t="s">
        <v>2</v>
      </c>
      <c r="C40" s="140" t="s">
        <v>3</v>
      </c>
      <c r="D40" s="139" t="s">
        <v>4</v>
      </c>
      <c r="E40" s="139" t="s">
        <v>5</v>
      </c>
      <c r="F40" s="140" t="s">
        <v>6</v>
      </c>
      <c r="G40" s="139" t="s">
        <v>7</v>
      </c>
      <c r="H40" s="141"/>
      <c r="I40" s="142"/>
      <c r="J40" s="140" t="s">
        <v>2</v>
      </c>
      <c r="K40" s="140" t="s">
        <v>3</v>
      </c>
      <c r="L40" s="139" t="s">
        <v>4</v>
      </c>
      <c r="M40" s="139" t="s">
        <v>5</v>
      </c>
      <c r="N40" s="140" t="s">
        <v>6</v>
      </c>
      <c r="O40" s="139" t="s">
        <v>7</v>
      </c>
      <c r="Q40" s="128">
        <f>+A40</f>
        <v>0</v>
      </c>
      <c r="R40" s="128" t="str">
        <f>+B40</f>
        <v>S1R1</v>
      </c>
      <c r="S40" s="128" t="str">
        <f>+C40</f>
        <v>S1R2</v>
      </c>
      <c r="T40" s="128" t="str">
        <f>+D40</f>
        <v>S1R3</v>
      </c>
      <c r="U40" s="128" t="str">
        <f>+E40</f>
        <v>S2R1</v>
      </c>
      <c r="V40" s="128" t="str">
        <f>+F40</f>
        <v>S2R2</v>
      </c>
      <c r="W40" s="128" t="str">
        <f>+G40</f>
        <v>S2R3</v>
      </c>
    </row>
    <row r="41" spans="1:23" ht="12.75">
      <c r="A41" s="130" t="s">
        <v>8</v>
      </c>
      <c r="B41" s="145">
        <v>1.17</v>
      </c>
      <c r="C41" s="143">
        <v>1.09</v>
      </c>
      <c r="D41" s="143">
        <v>1.09</v>
      </c>
      <c r="E41" s="125">
        <v>1.11</v>
      </c>
      <c r="F41" s="143">
        <v>1.16</v>
      </c>
      <c r="G41" s="144">
        <v>1.09</v>
      </c>
      <c r="H41" s="125"/>
      <c r="I41" s="130" t="s">
        <v>8</v>
      </c>
      <c r="J41" s="145">
        <v>0.85</v>
      </c>
      <c r="K41" s="143">
        <v>0.94</v>
      </c>
      <c r="L41" s="143">
        <v>0.85</v>
      </c>
      <c r="M41" s="125">
        <v>0.91</v>
      </c>
      <c r="N41" s="143">
        <v>0.95</v>
      </c>
      <c r="O41" s="144">
        <v>0.87</v>
      </c>
      <c r="Q41" s="128" t="str">
        <f aca="true" t="shared" si="4" ref="Q41:Q49">+A41</f>
        <v>T30/s</v>
      </c>
      <c r="R41" s="127">
        <f aca="true" t="shared" si="5" ref="R41:W49">+B41-J41</f>
        <v>0.31999999999999995</v>
      </c>
      <c r="S41" s="127">
        <f t="shared" si="5"/>
        <v>0.15000000000000013</v>
      </c>
      <c r="T41" s="127">
        <f t="shared" si="5"/>
        <v>0.2400000000000001</v>
      </c>
      <c r="U41" s="127">
        <f t="shared" si="5"/>
        <v>0.20000000000000007</v>
      </c>
      <c r="V41" s="127">
        <f t="shared" si="5"/>
        <v>0.20999999999999996</v>
      </c>
      <c r="W41" s="127">
        <f t="shared" si="5"/>
        <v>0.22000000000000008</v>
      </c>
    </row>
    <row r="42" spans="1:23" ht="12.75">
      <c r="A42" s="130" t="s">
        <v>9</v>
      </c>
      <c r="B42" s="131">
        <v>1.17</v>
      </c>
      <c r="C42" s="125">
        <v>1.13</v>
      </c>
      <c r="D42" s="125">
        <v>1.22</v>
      </c>
      <c r="E42" s="125">
        <v>1.07</v>
      </c>
      <c r="F42" s="125">
        <v>1.16</v>
      </c>
      <c r="G42" s="129">
        <v>1.07</v>
      </c>
      <c r="H42" s="125"/>
      <c r="I42" s="130" t="s">
        <v>9</v>
      </c>
      <c r="J42" s="131">
        <v>0.97</v>
      </c>
      <c r="K42" s="125">
        <v>0.91</v>
      </c>
      <c r="L42" s="125">
        <v>1.01</v>
      </c>
      <c r="M42" s="125">
        <v>0.87</v>
      </c>
      <c r="N42" s="125">
        <v>0.98</v>
      </c>
      <c r="O42" s="129">
        <v>0.89</v>
      </c>
      <c r="Q42" s="128" t="str">
        <f t="shared" si="4"/>
        <v>EDT/s</v>
      </c>
      <c r="R42" s="127">
        <f t="shared" si="5"/>
        <v>0.19999999999999996</v>
      </c>
      <c r="S42" s="127">
        <f t="shared" si="5"/>
        <v>0.21999999999999986</v>
      </c>
      <c r="T42" s="127">
        <f t="shared" si="5"/>
        <v>0.20999999999999996</v>
      </c>
      <c r="U42" s="127">
        <f t="shared" si="5"/>
        <v>0.20000000000000007</v>
      </c>
      <c r="V42" s="127">
        <f t="shared" si="5"/>
        <v>0.17999999999999994</v>
      </c>
      <c r="W42" s="127">
        <f t="shared" si="5"/>
        <v>0.18000000000000005</v>
      </c>
    </row>
    <row r="43" spans="1:23" ht="12.75">
      <c r="A43" s="130" t="s">
        <v>10</v>
      </c>
      <c r="B43" s="131">
        <v>42</v>
      </c>
      <c r="C43" s="125">
        <v>45</v>
      </c>
      <c r="D43" s="125">
        <v>37</v>
      </c>
      <c r="E43" s="125">
        <v>48</v>
      </c>
      <c r="F43" s="125">
        <v>39</v>
      </c>
      <c r="G43" s="129">
        <v>49</v>
      </c>
      <c r="H43" s="125"/>
      <c r="I43" s="130" t="s">
        <v>10</v>
      </c>
      <c r="J43" s="131">
        <v>50</v>
      </c>
      <c r="K43" s="125">
        <v>53</v>
      </c>
      <c r="L43" s="125">
        <v>45</v>
      </c>
      <c r="M43" s="125">
        <v>57</v>
      </c>
      <c r="N43" s="125">
        <v>48</v>
      </c>
      <c r="O43" s="129">
        <v>56</v>
      </c>
      <c r="Q43" s="128" t="str">
        <f t="shared" si="4"/>
        <v>D/%</v>
      </c>
      <c r="R43" s="127">
        <f t="shared" si="5"/>
        <v>-8</v>
      </c>
      <c r="S43" s="127">
        <f t="shared" si="5"/>
        <v>-8</v>
      </c>
      <c r="T43" s="127">
        <f t="shared" si="5"/>
        <v>-8</v>
      </c>
      <c r="U43" s="127">
        <f t="shared" si="5"/>
        <v>-9</v>
      </c>
      <c r="V43" s="127">
        <f t="shared" si="5"/>
        <v>-9</v>
      </c>
      <c r="W43" s="127">
        <f t="shared" si="5"/>
        <v>-7</v>
      </c>
    </row>
    <row r="44" spans="1:23" ht="12.75">
      <c r="A44" s="130" t="s">
        <v>11</v>
      </c>
      <c r="B44" s="131">
        <v>1.7</v>
      </c>
      <c r="C44" s="205">
        <v>2</v>
      </c>
      <c r="D44" s="205">
        <v>1</v>
      </c>
      <c r="E44" s="125">
        <v>2.6</v>
      </c>
      <c r="F44" s="125">
        <v>1.5</v>
      </c>
      <c r="G44" s="129">
        <v>2.7</v>
      </c>
      <c r="H44" s="125"/>
      <c r="I44" s="130" t="s">
        <v>11</v>
      </c>
      <c r="J44" s="131">
        <v>3.3</v>
      </c>
      <c r="K44" s="125">
        <v>3.8</v>
      </c>
      <c r="L44" s="125">
        <v>2.8</v>
      </c>
      <c r="M44" s="125">
        <v>4.3</v>
      </c>
      <c r="N44" s="205">
        <v>3</v>
      </c>
      <c r="O44" s="129">
        <v>4.1</v>
      </c>
      <c r="Q44" s="128" t="str">
        <f t="shared" si="4"/>
        <v>C/dB</v>
      </c>
      <c r="R44" s="127">
        <f t="shared" si="5"/>
        <v>-1.5999999999999999</v>
      </c>
      <c r="S44" s="127">
        <f t="shared" si="5"/>
        <v>-1.7999999999999998</v>
      </c>
      <c r="T44" s="127">
        <f t="shared" si="5"/>
        <v>-1.7999999999999998</v>
      </c>
      <c r="U44" s="127">
        <f t="shared" si="5"/>
        <v>-1.6999999999999997</v>
      </c>
      <c r="V44" s="127">
        <f t="shared" si="5"/>
        <v>-1.5</v>
      </c>
      <c r="W44" s="127">
        <f t="shared" si="5"/>
        <v>-1.3999999999999995</v>
      </c>
    </row>
    <row r="45" spans="1:23" ht="12.75">
      <c r="A45" s="130" t="s">
        <v>12</v>
      </c>
      <c r="B45" s="131">
        <v>82</v>
      </c>
      <c r="C45" s="125">
        <v>78</v>
      </c>
      <c r="D45" s="125">
        <v>90</v>
      </c>
      <c r="E45" s="125">
        <v>72</v>
      </c>
      <c r="F45" s="125">
        <v>84</v>
      </c>
      <c r="G45" s="129">
        <v>72</v>
      </c>
      <c r="H45" s="125"/>
      <c r="I45" s="130" t="s">
        <v>12</v>
      </c>
      <c r="J45" s="131">
        <v>66</v>
      </c>
      <c r="K45" s="125">
        <v>61</v>
      </c>
      <c r="L45" s="125">
        <v>71</v>
      </c>
      <c r="M45" s="125">
        <v>56</v>
      </c>
      <c r="N45" s="125">
        <v>68</v>
      </c>
      <c r="O45" s="129">
        <v>58</v>
      </c>
      <c r="Q45" s="128" t="str">
        <f t="shared" si="4"/>
        <v>TS/ms</v>
      </c>
      <c r="R45" s="127">
        <f t="shared" si="5"/>
        <v>16</v>
      </c>
      <c r="S45" s="127">
        <f t="shared" si="5"/>
        <v>17</v>
      </c>
      <c r="T45" s="127">
        <f t="shared" si="5"/>
        <v>19</v>
      </c>
      <c r="U45" s="127">
        <f t="shared" si="5"/>
        <v>16</v>
      </c>
      <c r="V45" s="127">
        <f t="shared" si="5"/>
        <v>16</v>
      </c>
      <c r="W45" s="127">
        <f t="shared" si="5"/>
        <v>14</v>
      </c>
    </row>
    <row r="46" spans="1:23" ht="12.75">
      <c r="A46" s="130" t="s">
        <v>13</v>
      </c>
      <c r="B46" s="131">
        <v>18.4</v>
      </c>
      <c r="C46" s="205">
        <v>19</v>
      </c>
      <c r="D46" s="125">
        <v>18.2</v>
      </c>
      <c r="E46" s="125">
        <v>18.9</v>
      </c>
      <c r="F46" s="125">
        <v>18.4</v>
      </c>
      <c r="G46" s="129">
        <v>19.3</v>
      </c>
      <c r="H46" s="125"/>
      <c r="I46" s="130" t="s">
        <v>13</v>
      </c>
      <c r="J46" s="131">
        <v>17.4</v>
      </c>
      <c r="K46" s="125">
        <v>18.2</v>
      </c>
      <c r="L46" s="125">
        <v>17.1</v>
      </c>
      <c r="M46" s="125">
        <v>18.2</v>
      </c>
      <c r="N46" s="125">
        <v>17.6</v>
      </c>
      <c r="O46" s="129">
        <v>18.6</v>
      </c>
      <c r="Q46" s="128" t="str">
        <f t="shared" si="4"/>
        <v>G/dB</v>
      </c>
      <c r="R46" s="127">
        <f t="shared" si="5"/>
        <v>1</v>
      </c>
      <c r="S46" s="127">
        <f t="shared" si="5"/>
        <v>0.8000000000000007</v>
      </c>
      <c r="T46" s="127">
        <f t="shared" si="5"/>
        <v>1.0999999999999979</v>
      </c>
      <c r="U46" s="127">
        <f t="shared" si="5"/>
        <v>0.6999999999999993</v>
      </c>
      <c r="V46" s="127">
        <f t="shared" si="5"/>
        <v>0.7999999999999972</v>
      </c>
      <c r="W46" s="127">
        <f t="shared" si="5"/>
        <v>0.6999999999999993</v>
      </c>
    </row>
    <row r="47" spans="1:23" ht="12.75">
      <c r="A47" s="130" t="s">
        <v>14</v>
      </c>
      <c r="B47" s="131">
        <v>29.2</v>
      </c>
      <c r="C47" s="125">
        <v>16.3</v>
      </c>
      <c r="D47" s="125">
        <v>21.5</v>
      </c>
      <c r="E47" s="125">
        <v>18.6</v>
      </c>
      <c r="F47" s="205">
        <v>28</v>
      </c>
      <c r="G47" s="129">
        <v>26.6</v>
      </c>
      <c r="H47" s="125"/>
      <c r="I47" s="130" t="s">
        <v>14</v>
      </c>
      <c r="J47" s="131">
        <v>25.8</v>
      </c>
      <c r="K47" s="125">
        <v>17.7</v>
      </c>
      <c r="L47" s="125">
        <v>23.2</v>
      </c>
      <c r="M47" s="125">
        <v>20.3</v>
      </c>
      <c r="N47" s="125">
        <v>25.5</v>
      </c>
      <c r="O47" s="129">
        <v>24.6</v>
      </c>
      <c r="Q47" s="128" t="str">
        <f t="shared" si="4"/>
        <v>LF/%</v>
      </c>
      <c r="R47" s="127">
        <f t="shared" si="5"/>
        <v>3.3999999999999986</v>
      </c>
      <c r="S47" s="127">
        <f t="shared" si="5"/>
        <v>-1.3999999999999986</v>
      </c>
      <c r="T47" s="127">
        <f t="shared" si="5"/>
        <v>-1.6999999999999993</v>
      </c>
      <c r="U47" s="127">
        <f t="shared" si="5"/>
        <v>-1.6999999999999993</v>
      </c>
      <c r="V47" s="127">
        <f t="shared" si="5"/>
        <v>2.5</v>
      </c>
      <c r="W47" s="127">
        <f t="shared" si="5"/>
        <v>2</v>
      </c>
    </row>
    <row r="48" spans="1:23" ht="12.75">
      <c r="A48" s="130" t="s">
        <v>15</v>
      </c>
      <c r="B48" s="131"/>
      <c r="C48" s="125"/>
      <c r="D48" s="125"/>
      <c r="E48" s="125"/>
      <c r="F48" s="125"/>
      <c r="G48" s="129"/>
      <c r="H48" s="125"/>
      <c r="I48" s="130" t="s">
        <v>15</v>
      </c>
      <c r="J48" s="131"/>
      <c r="K48" s="125"/>
      <c r="L48" s="125"/>
      <c r="M48" s="125"/>
      <c r="N48" s="125"/>
      <c r="O48" s="129"/>
      <c r="Q48" s="128" t="str">
        <f t="shared" si="4"/>
        <v>LFC/%</v>
      </c>
      <c r="R48" s="127">
        <f t="shared" si="5"/>
        <v>0</v>
      </c>
      <c r="S48" s="127">
        <f t="shared" si="5"/>
        <v>0</v>
      </c>
      <c r="T48" s="127">
        <f t="shared" si="5"/>
        <v>0</v>
      </c>
      <c r="U48" s="127">
        <f t="shared" si="5"/>
        <v>0</v>
      </c>
      <c r="V48" s="127">
        <f t="shared" si="5"/>
        <v>0</v>
      </c>
      <c r="W48" s="127">
        <f t="shared" si="5"/>
        <v>0</v>
      </c>
    </row>
    <row r="49" spans="1:23" ht="12.75">
      <c r="A49" s="134" t="s">
        <v>16</v>
      </c>
      <c r="B49" s="135"/>
      <c r="C49" s="132"/>
      <c r="D49" s="132"/>
      <c r="E49" s="132"/>
      <c r="F49" s="132"/>
      <c r="G49" s="133"/>
      <c r="H49" s="125"/>
      <c r="I49" s="134" t="s">
        <v>16</v>
      </c>
      <c r="J49" s="135"/>
      <c r="K49" s="132"/>
      <c r="L49" s="132"/>
      <c r="M49" s="132"/>
      <c r="N49" s="132"/>
      <c r="O49" s="133"/>
      <c r="Q49" s="128" t="str">
        <f t="shared" si="4"/>
        <v>IACC</v>
      </c>
      <c r="R49" s="127">
        <f t="shared" si="5"/>
        <v>0</v>
      </c>
      <c r="S49" s="127">
        <f t="shared" si="5"/>
        <v>0</v>
      </c>
      <c r="T49" s="127">
        <f t="shared" si="5"/>
        <v>0</v>
      </c>
      <c r="U49" s="127">
        <f t="shared" si="5"/>
        <v>0</v>
      </c>
      <c r="V49" s="127">
        <f t="shared" si="5"/>
        <v>0</v>
      </c>
      <c r="W49" s="127">
        <f t="shared" si="5"/>
        <v>0</v>
      </c>
    </row>
    <row r="50" spans="5:23" ht="12.75">
      <c r="E50" s="136"/>
      <c r="F50" s="136"/>
      <c r="G50" s="136"/>
      <c r="H50" s="136"/>
      <c r="M50" s="136"/>
      <c r="N50" s="136"/>
      <c r="O50" s="136"/>
      <c r="R50" s="127"/>
      <c r="S50" s="127"/>
      <c r="T50" s="127"/>
      <c r="U50" s="127"/>
      <c r="V50" s="127"/>
      <c r="W50" s="127"/>
    </row>
    <row r="51" spans="1:18" ht="12.75">
      <c r="A51" s="155" t="s">
        <v>19</v>
      </c>
      <c r="B51" s="156" t="s">
        <v>1</v>
      </c>
      <c r="E51" s="136"/>
      <c r="F51" s="136"/>
      <c r="G51" s="136"/>
      <c r="H51" s="136"/>
      <c r="I51" s="155" t="s">
        <v>19</v>
      </c>
      <c r="J51" s="156" t="s">
        <v>1</v>
      </c>
      <c r="M51" s="136"/>
      <c r="N51" s="136"/>
      <c r="O51" s="136"/>
      <c r="Q51" s="128" t="str">
        <f>+A51</f>
        <v>1000 Hz</v>
      </c>
      <c r="R51" s="128" t="str">
        <f>+B51</f>
        <v>octave</v>
      </c>
    </row>
    <row r="52" spans="1:23" ht="12.75">
      <c r="A52" s="142"/>
      <c r="B52" s="140" t="s">
        <v>2</v>
      </c>
      <c r="C52" s="140" t="s">
        <v>3</v>
      </c>
      <c r="D52" s="139" t="s">
        <v>4</v>
      </c>
      <c r="E52" s="139" t="s">
        <v>5</v>
      </c>
      <c r="F52" s="140" t="s">
        <v>6</v>
      </c>
      <c r="G52" s="139" t="s">
        <v>7</v>
      </c>
      <c r="H52" s="141"/>
      <c r="I52" s="142"/>
      <c r="J52" s="140" t="s">
        <v>2</v>
      </c>
      <c r="K52" s="140" t="s">
        <v>3</v>
      </c>
      <c r="L52" s="139" t="s">
        <v>4</v>
      </c>
      <c r="M52" s="139" t="s">
        <v>5</v>
      </c>
      <c r="N52" s="140" t="s">
        <v>6</v>
      </c>
      <c r="O52" s="139" t="s">
        <v>7</v>
      </c>
      <c r="Q52" s="128">
        <f>+A52</f>
        <v>0</v>
      </c>
      <c r="R52" s="128" t="str">
        <f>+B52</f>
        <v>S1R1</v>
      </c>
      <c r="S52" s="128" t="str">
        <f>+C52</f>
        <v>S1R2</v>
      </c>
      <c r="T52" s="128" t="str">
        <f>+D52</f>
        <v>S1R3</v>
      </c>
      <c r="U52" s="128" t="str">
        <f>+E52</f>
        <v>S2R1</v>
      </c>
      <c r="V52" s="128" t="str">
        <f>+F52</f>
        <v>S2R2</v>
      </c>
      <c r="W52" s="128" t="str">
        <f>+G52</f>
        <v>S2R3</v>
      </c>
    </row>
    <row r="53" spans="1:23" ht="12.75">
      <c r="A53" s="130" t="s">
        <v>8</v>
      </c>
      <c r="B53" s="145">
        <v>1.07</v>
      </c>
      <c r="C53" s="143">
        <v>1.06</v>
      </c>
      <c r="D53" s="143">
        <v>1.05</v>
      </c>
      <c r="E53" s="125">
        <v>1.14</v>
      </c>
      <c r="F53" s="143">
        <v>1.02</v>
      </c>
      <c r="G53" s="144">
        <v>1.03</v>
      </c>
      <c r="H53" s="125"/>
      <c r="I53" s="130" t="s">
        <v>8</v>
      </c>
      <c r="J53" s="145">
        <v>0.72</v>
      </c>
      <c r="K53" s="143">
        <v>0.68</v>
      </c>
      <c r="L53" s="143">
        <v>0.73</v>
      </c>
      <c r="M53" s="125">
        <v>0.78</v>
      </c>
      <c r="N53" s="143">
        <v>0.82</v>
      </c>
      <c r="O53" s="144">
        <v>0.75</v>
      </c>
      <c r="Q53" s="128" t="str">
        <f aca="true" t="shared" si="6" ref="Q53:Q61">+A53</f>
        <v>T30/s</v>
      </c>
      <c r="R53" s="127">
        <f aca="true" t="shared" si="7" ref="R53:W61">+B53-J53</f>
        <v>0.3500000000000001</v>
      </c>
      <c r="S53" s="127">
        <f t="shared" si="7"/>
        <v>0.38</v>
      </c>
      <c r="T53" s="127">
        <f t="shared" si="7"/>
        <v>0.32000000000000006</v>
      </c>
      <c r="U53" s="127">
        <f t="shared" si="7"/>
        <v>0.3599999999999999</v>
      </c>
      <c r="V53" s="127">
        <f t="shared" si="7"/>
        <v>0.20000000000000007</v>
      </c>
      <c r="W53" s="127">
        <f t="shared" si="7"/>
        <v>0.28</v>
      </c>
    </row>
    <row r="54" spans="1:23" ht="12.75">
      <c r="A54" s="130" t="s">
        <v>9</v>
      </c>
      <c r="B54" s="131">
        <v>1.11</v>
      </c>
      <c r="C54" s="125">
        <v>1.07</v>
      </c>
      <c r="D54" s="125">
        <v>1.17</v>
      </c>
      <c r="E54" s="125">
        <v>0.97</v>
      </c>
      <c r="F54" s="125">
        <v>1.06</v>
      </c>
      <c r="G54" s="129">
        <v>0.97</v>
      </c>
      <c r="H54" s="125"/>
      <c r="I54" s="130" t="s">
        <v>9</v>
      </c>
      <c r="J54" s="131">
        <v>0.82</v>
      </c>
      <c r="K54" s="125">
        <v>0.77</v>
      </c>
      <c r="L54" s="125">
        <v>0.89</v>
      </c>
      <c r="M54" s="125">
        <v>0.76</v>
      </c>
      <c r="N54" s="125">
        <v>0.85</v>
      </c>
      <c r="O54" s="129">
        <v>0.77</v>
      </c>
      <c r="Q54" s="128" t="str">
        <f t="shared" si="6"/>
        <v>EDT/s</v>
      </c>
      <c r="R54" s="127">
        <f t="shared" si="7"/>
        <v>0.29000000000000015</v>
      </c>
      <c r="S54" s="127">
        <f t="shared" si="7"/>
        <v>0.30000000000000004</v>
      </c>
      <c r="T54" s="127">
        <f t="shared" si="7"/>
        <v>0.2799999999999999</v>
      </c>
      <c r="U54" s="127">
        <f t="shared" si="7"/>
        <v>0.20999999999999996</v>
      </c>
      <c r="V54" s="127">
        <f t="shared" si="7"/>
        <v>0.21000000000000008</v>
      </c>
      <c r="W54" s="127">
        <f t="shared" si="7"/>
        <v>0.19999999999999996</v>
      </c>
    </row>
    <row r="55" spans="1:23" ht="12.75">
      <c r="A55" s="130" t="s">
        <v>10</v>
      </c>
      <c r="B55" s="131">
        <v>45</v>
      </c>
      <c r="C55" s="125">
        <v>50</v>
      </c>
      <c r="D55" s="125">
        <v>41</v>
      </c>
      <c r="E55" s="125">
        <v>54</v>
      </c>
      <c r="F55" s="125">
        <v>44</v>
      </c>
      <c r="G55" s="129">
        <v>53</v>
      </c>
      <c r="H55" s="125"/>
      <c r="I55" s="130" t="s">
        <v>10</v>
      </c>
      <c r="J55" s="131">
        <v>56</v>
      </c>
      <c r="K55" s="125">
        <v>59</v>
      </c>
      <c r="L55" s="125">
        <v>51</v>
      </c>
      <c r="M55" s="125">
        <v>46</v>
      </c>
      <c r="N55" s="125">
        <v>53</v>
      </c>
      <c r="O55" s="129">
        <v>61</v>
      </c>
      <c r="Q55" s="128" t="str">
        <f t="shared" si="6"/>
        <v>D/%</v>
      </c>
      <c r="R55" s="127">
        <f t="shared" si="7"/>
        <v>-11</v>
      </c>
      <c r="S55" s="127">
        <f t="shared" si="7"/>
        <v>-9</v>
      </c>
      <c r="T55" s="127">
        <f t="shared" si="7"/>
        <v>-10</v>
      </c>
      <c r="U55" s="127">
        <f t="shared" si="7"/>
        <v>8</v>
      </c>
      <c r="V55" s="127">
        <f t="shared" si="7"/>
        <v>-9</v>
      </c>
      <c r="W55" s="127">
        <f t="shared" si="7"/>
        <v>-8</v>
      </c>
    </row>
    <row r="56" spans="1:23" ht="12.75">
      <c r="A56" s="130" t="s">
        <v>11</v>
      </c>
      <c r="B56" s="131">
        <v>2.2</v>
      </c>
      <c r="C56" s="125">
        <v>2.8</v>
      </c>
      <c r="D56" s="125">
        <v>1.8</v>
      </c>
      <c r="E56" s="125">
        <v>3.5</v>
      </c>
      <c r="F56" s="125">
        <v>2.3</v>
      </c>
      <c r="G56" s="129">
        <v>3.4</v>
      </c>
      <c r="H56" s="125"/>
      <c r="I56" s="130" t="s">
        <v>11</v>
      </c>
      <c r="J56" s="131">
        <v>4.5</v>
      </c>
      <c r="K56" s="205">
        <v>5</v>
      </c>
      <c r="L56" s="125">
        <v>3.7</v>
      </c>
      <c r="M56" s="125">
        <v>5.7</v>
      </c>
      <c r="N56" s="125">
        <v>4.1</v>
      </c>
      <c r="O56" s="129">
        <v>5.2</v>
      </c>
      <c r="Q56" s="128" t="str">
        <f t="shared" si="6"/>
        <v>C/dB</v>
      </c>
      <c r="R56" s="127">
        <f t="shared" si="7"/>
        <v>-2.3</v>
      </c>
      <c r="S56" s="127">
        <f t="shared" si="7"/>
        <v>-2.2</v>
      </c>
      <c r="T56" s="127">
        <f t="shared" si="7"/>
        <v>-1.9000000000000001</v>
      </c>
      <c r="U56" s="127">
        <f t="shared" si="7"/>
        <v>-2.2</v>
      </c>
      <c r="V56" s="127">
        <f t="shared" si="7"/>
        <v>-1.7999999999999998</v>
      </c>
      <c r="W56" s="127">
        <f t="shared" si="7"/>
        <v>-1.8000000000000003</v>
      </c>
    </row>
    <row r="57" spans="1:23" ht="13.5" customHeight="1">
      <c r="A57" s="130" t="s">
        <v>12</v>
      </c>
      <c r="B57" s="131">
        <v>77</v>
      </c>
      <c r="C57" s="125">
        <v>71</v>
      </c>
      <c r="D57" s="125">
        <v>83</v>
      </c>
      <c r="E57" s="125">
        <v>63</v>
      </c>
      <c r="F57" s="125">
        <v>76</v>
      </c>
      <c r="G57" s="129">
        <v>64</v>
      </c>
      <c r="H57" s="125"/>
      <c r="I57" s="130" t="s">
        <v>12</v>
      </c>
      <c r="J57" s="131">
        <v>56</v>
      </c>
      <c r="K57" s="125">
        <v>50</v>
      </c>
      <c r="L57" s="125">
        <v>62</v>
      </c>
      <c r="M57" s="125">
        <v>46</v>
      </c>
      <c r="N57" s="125">
        <v>58</v>
      </c>
      <c r="O57" s="129">
        <v>49</v>
      </c>
      <c r="Q57" s="128" t="str">
        <f t="shared" si="6"/>
        <v>TS/ms</v>
      </c>
      <c r="R57" s="127">
        <f t="shared" si="7"/>
        <v>21</v>
      </c>
      <c r="S57" s="127">
        <f t="shared" si="7"/>
        <v>21</v>
      </c>
      <c r="T57" s="127">
        <f t="shared" si="7"/>
        <v>21</v>
      </c>
      <c r="U57" s="127">
        <f t="shared" si="7"/>
        <v>17</v>
      </c>
      <c r="V57" s="127">
        <f t="shared" si="7"/>
        <v>18</v>
      </c>
      <c r="W57" s="127">
        <f t="shared" si="7"/>
        <v>15</v>
      </c>
    </row>
    <row r="58" spans="1:23" ht="12" customHeight="1">
      <c r="A58" s="130" t="s">
        <v>13</v>
      </c>
      <c r="B58" s="131">
        <v>17.9</v>
      </c>
      <c r="C58" s="125">
        <v>18.9</v>
      </c>
      <c r="D58" s="125">
        <v>17.8</v>
      </c>
      <c r="E58" s="125">
        <v>18.7</v>
      </c>
      <c r="F58" s="125">
        <v>18.1</v>
      </c>
      <c r="G58" s="129">
        <v>19.1</v>
      </c>
      <c r="H58" s="125"/>
      <c r="I58" s="130" t="s">
        <v>13</v>
      </c>
      <c r="J58" s="131">
        <v>16.7</v>
      </c>
      <c r="K58" s="125">
        <v>17.9</v>
      </c>
      <c r="L58" s="125">
        <v>16.6</v>
      </c>
      <c r="M58" s="125">
        <v>17.7</v>
      </c>
      <c r="N58" s="205">
        <v>17</v>
      </c>
      <c r="O58" s="129">
        <v>18.2</v>
      </c>
      <c r="Q58" s="128" t="str">
        <f t="shared" si="6"/>
        <v>G/dB</v>
      </c>
      <c r="R58" s="127">
        <f t="shared" si="7"/>
        <v>1.1999999999999993</v>
      </c>
      <c r="S58" s="127">
        <f t="shared" si="7"/>
        <v>1</v>
      </c>
      <c r="T58" s="127">
        <f t="shared" si="7"/>
        <v>1.1999999999999993</v>
      </c>
      <c r="U58" s="127">
        <f t="shared" si="7"/>
        <v>1</v>
      </c>
      <c r="V58" s="127">
        <f t="shared" si="7"/>
        <v>1.1000000000000014</v>
      </c>
      <c r="W58" s="127">
        <f t="shared" si="7"/>
        <v>0.9000000000000021</v>
      </c>
    </row>
    <row r="59" spans="1:23" ht="12.75">
      <c r="A59" s="130" t="s">
        <v>14</v>
      </c>
      <c r="B59" s="131">
        <v>29.3</v>
      </c>
      <c r="C59" s="125">
        <v>17.3</v>
      </c>
      <c r="D59" s="125">
        <v>22.1</v>
      </c>
      <c r="E59" s="125">
        <v>21.5</v>
      </c>
      <c r="F59" s="125">
        <v>26.6</v>
      </c>
      <c r="G59" s="129">
        <v>25.8</v>
      </c>
      <c r="H59" s="125"/>
      <c r="I59" s="130" t="s">
        <v>14</v>
      </c>
      <c r="J59" s="131">
        <v>24.5</v>
      </c>
      <c r="K59" s="125">
        <v>17.6</v>
      </c>
      <c r="L59" s="125">
        <v>23.4</v>
      </c>
      <c r="M59" s="125">
        <v>19.3</v>
      </c>
      <c r="N59" s="125">
        <v>23.8</v>
      </c>
      <c r="O59" s="129">
        <v>23.9</v>
      </c>
      <c r="Q59" s="128" t="str">
        <f t="shared" si="6"/>
        <v>LF/%</v>
      </c>
      <c r="R59" s="127">
        <f t="shared" si="7"/>
        <v>4.800000000000001</v>
      </c>
      <c r="S59" s="127">
        <f t="shared" si="7"/>
        <v>-0.3000000000000007</v>
      </c>
      <c r="T59" s="127">
        <f t="shared" si="7"/>
        <v>-1.2999999999999972</v>
      </c>
      <c r="U59" s="127">
        <f t="shared" si="7"/>
        <v>2.1999999999999993</v>
      </c>
      <c r="V59" s="127">
        <f t="shared" si="7"/>
        <v>2.8000000000000007</v>
      </c>
      <c r="W59" s="127">
        <f t="shared" si="7"/>
        <v>1.9000000000000021</v>
      </c>
    </row>
    <row r="60" spans="1:23" ht="12.75">
      <c r="A60" s="130" t="s">
        <v>15</v>
      </c>
      <c r="B60" s="131"/>
      <c r="C60" s="125"/>
      <c r="D60" s="125"/>
      <c r="E60" s="125"/>
      <c r="F60" s="125"/>
      <c r="G60" s="129"/>
      <c r="H60" s="125"/>
      <c r="I60" s="130" t="s">
        <v>15</v>
      </c>
      <c r="J60" s="131"/>
      <c r="K60" s="125"/>
      <c r="L60" s="125"/>
      <c r="M60" s="125"/>
      <c r="N60" s="125"/>
      <c r="O60" s="129"/>
      <c r="Q60" s="128" t="str">
        <f t="shared" si="6"/>
        <v>LFC/%</v>
      </c>
      <c r="R60" s="127">
        <f t="shared" si="7"/>
        <v>0</v>
      </c>
      <c r="S60" s="127">
        <f t="shared" si="7"/>
        <v>0</v>
      </c>
      <c r="T60" s="127">
        <f t="shared" si="7"/>
        <v>0</v>
      </c>
      <c r="U60" s="127">
        <f t="shared" si="7"/>
        <v>0</v>
      </c>
      <c r="V60" s="127">
        <f t="shared" si="7"/>
        <v>0</v>
      </c>
      <c r="W60" s="127">
        <f t="shared" si="7"/>
        <v>0</v>
      </c>
    </row>
    <row r="61" spans="1:23" ht="12.75">
      <c r="A61" s="134" t="s">
        <v>16</v>
      </c>
      <c r="B61" s="135"/>
      <c r="C61" s="132"/>
      <c r="D61" s="132"/>
      <c r="E61" s="132"/>
      <c r="F61" s="132"/>
      <c r="G61" s="133"/>
      <c r="H61" s="125"/>
      <c r="I61" s="134" t="s">
        <v>16</v>
      </c>
      <c r="J61" s="135"/>
      <c r="K61" s="132"/>
      <c r="L61" s="132"/>
      <c r="M61" s="132"/>
      <c r="N61" s="132"/>
      <c r="O61" s="133"/>
      <c r="Q61" s="128" t="str">
        <f t="shared" si="6"/>
        <v>IACC</v>
      </c>
      <c r="R61" s="127">
        <f t="shared" si="7"/>
        <v>0</v>
      </c>
      <c r="S61" s="127">
        <f t="shared" si="7"/>
        <v>0</v>
      </c>
      <c r="T61" s="127">
        <f t="shared" si="7"/>
        <v>0</v>
      </c>
      <c r="U61" s="127">
        <f t="shared" si="7"/>
        <v>0</v>
      </c>
      <c r="V61" s="127">
        <f t="shared" si="7"/>
        <v>0</v>
      </c>
      <c r="W61" s="127">
        <f t="shared" si="7"/>
        <v>0</v>
      </c>
    </row>
    <row r="62" spans="5:15" ht="12.75">
      <c r="E62" s="136"/>
      <c r="F62" s="136"/>
      <c r="G62" s="136"/>
      <c r="H62" s="136"/>
      <c r="M62" s="136"/>
      <c r="N62" s="136"/>
      <c r="O62" s="136"/>
    </row>
    <row r="63" spans="1:18" ht="12.75">
      <c r="A63" s="155" t="s">
        <v>20</v>
      </c>
      <c r="B63" s="156" t="s">
        <v>1</v>
      </c>
      <c r="E63" s="136"/>
      <c r="F63" s="136"/>
      <c r="G63" s="136"/>
      <c r="H63" s="136"/>
      <c r="I63" s="155" t="s">
        <v>20</v>
      </c>
      <c r="J63" s="156" t="s">
        <v>1</v>
      </c>
      <c r="M63" s="136"/>
      <c r="N63" s="136"/>
      <c r="O63" s="136"/>
      <c r="Q63" s="128" t="str">
        <f>+A63</f>
        <v>2000 Hz</v>
      </c>
      <c r="R63" s="128" t="str">
        <f>+B63</f>
        <v>octave</v>
      </c>
    </row>
    <row r="64" spans="1:23" ht="12.75">
      <c r="A64" s="142"/>
      <c r="B64" s="140" t="s">
        <v>2</v>
      </c>
      <c r="C64" s="140" t="s">
        <v>3</v>
      </c>
      <c r="D64" s="139" t="s">
        <v>4</v>
      </c>
      <c r="E64" s="139" t="s">
        <v>5</v>
      </c>
      <c r="F64" s="140" t="s">
        <v>6</v>
      </c>
      <c r="G64" s="139" t="s">
        <v>7</v>
      </c>
      <c r="H64" s="141"/>
      <c r="I64" s="142"/>
      <c r="J64" s="140" t="s">
        <v>2</v>
      </c>
      <c r="K64" s="140" t="s">
        <v>3</v>
      </c>
      <c r="L64" s="139" t="s">
        <v>4</v>
      </c>
      <c r="M64" s="139" t="s">
        <v>5</v>
      </c>
      <c r="N64" s="140" t="s">
        <v>6</v>
      </c>
      <c r="O64" s="139" t="s">
        <v>7</v>
      </c>
      <c r="Q64" s="128">
        <f>+A64</f>
        <v>0</v>
      </c>
      <c r="R64" s="128" t="str">
        <f>+B64</f>
        <v>S1R1</v>
      </c>
      <c r="S64" s="128" t="str">
        <f>+C64</f>
        <v>S1R2</v>
      </c>
      <c r="T64" s="128" t="str">
        <f>+D64</f>
        <v>S1R3</v>
      </c>
      <c r="U64" s="128" t="str">
        <f>+E64</f>
        <v>S2R1</v>
      </c>
      <c r="V64" s="128" t="str">
        <f>+F64</f>
        <v>S2R2</v>
      </c>
      <c r="W64" s="128" t="str">
        <f>+G64</f>
        <v>S2R3</v>
      </c>
    </row>
    <row r="65" spans="1:23" ht="12.75">
      <c r="A65" s="130" t="s">
        <v>8</v>
      </c>
      <c r="B65" s="145">
        <v>1.18</v>
      </c>
      <c r="C65" s="143">
        <v>1.08</v>
      </c>
      <c r="D65" s="200">
        <v>1.1</v>
      </c>
      <c r="E65" s="125">
        <v>1.06</v>
      </c>
      <c r="F65" s="143">
        <v>1.16</v>
      </c>
      <c r="G65" s="144">
        <v>1.09</v>
      </c>
      <c r="H65" s="125"/>
      <c r="I65" s="130" t="s">
        <v>8</v>
      </c>
      <c r="J65" s="145">
        <v>0.78</v>
      </c>
      <c r="K65" s="143">
        <v>0.73</v>
      </c>
      <c r="L65" s="143">
        <v>0.69</v>
      </c>
      <c r="M65" s="125">
        <v>0.64</v>
      </c>
      <c r="N65" s="143">
        <v>0.74</v>
      </c>
      <c r="O65" s="144">
        <v>0.85</v>
      </c>
      <c r="Q65" s="128" t="str">
        <f aca="true" t="shared" si="8" ref="Q65:Q73">+A65</f>
        <v>T30/s</v>
      </c>
      <c r="R65" s="127">
        <f aca="true" t="shared" si="9" ref="R65:W73">+B65-J65</f>
        <v>0.3999999999999999</v>
      </c>
      <c r="S65" s="127">
        <f t="shared" si="9"/>
        <v>0.3500000000000001</v>
      </c>
      <c r="T65" s="127">
        <f t="shared" si="9"/>
        <v>0.41000000000000014</v>
      </c>
      <c r="U65" s="127">
        <f t="shared" si="9"/>
        <v>0.42000000000000004</v>
      </c>
      <c r="V65" s="127">
        <f t="shared" si="9"/>
        <v>0.41999999999999993</v>
      </c>
      <c r="W65" s="127">
        <f t="shared" si="9"/>
        <v>0.2400000000000001</v>
      </c>
    </row>
    <row r="66" spans="1:23" ht="12.75">
      <c r="A66" s="130" t="s">
        <v>9</v>
      </c>
      <c r="B66" s="131">
        <v>1.19</v>
      </c>
      <c r="C66" s="181">
        <v>1.1</v>
      </c>
      <c r="D66" s="125">
        <v>1.21</v>
      </c>
      <c r="E66" s="125">
        <v>1.07</v>
      </c>
      <c r="F66" s="125">
        <v>1.16</v>
      </c>
      <c r="G66" s="129">
        <v>1.06</v>
      </c>
      <c r="H66" s="125"/>
      <c r="I66" s="130" t="s">
        <v>9</v>
      </c>
      <c r="J66" s="131">
        <v>0.82</v>
      </c>
      <c r="K66" s="125">
        <v>0.73</v>
      </c>
      <c r="L66" s="125">
        <v>0.84</v>
      </c>
      <c r="M66" s="125">
        <v>0.71</v>
      </c>
      <c r="N66" s="125">
        <v>0.83</v>
      </c>
      <c r="O66" s="129">
        <v>0.73</v>
      </c>
      <c r="Q66" s="128" t="str">
        <f t="shared" si="8"/>
        <v>EDT/s</v>
      </c>
      <c r="R66" s="127">
        <f t="shared" si="9"/>
        <v>0.37</v>
      </c>
      <c r="S66" s="127">
        <f t="shared" si="9"/>
        <v>0.3700000000000001</v>
      </c>
      <c r="T66" s="127">
        <f t="shared" si="9"/>
        <v>0.37</v>
      </c>
      <c r="U66" s="127">
        <f t="shared" si="9"/>
        <v>0.3600000000000001</v>
      </c>
      <c r="V66" s="127">
        <f t="shared" si="9"/>
        <v>0.32999999999999996</v>
      </c>
      <c r="W66" s="127">
        <f t="shared" si="9"/>
        <v>0.33000000000000007</v>
      </c>
    </row>
    <row r="67" spans="1:23" ht="12.75">
      <c r="A67" s="130" t="s">
        <v>10</v>
      </c>
      <c r="B67" s="131">
        <v>43</v>
      </c>
      <c r="C67" s="125">
        <v>50</v>
      </c>
      <c r="D67" s="125">
        <v>40</v>
      </c>
      <c r="E67" s="125">
        <v>50</v>
      </c>
      <c r="F67" s="125">
        <v>41</v>
      </c>
      <c r="G67" s="129">
        <v>51</v>
      </c>
      <c r="H67" s="125"/>
      <c r="I67" s="130" t="s">
        <v>10</v>
      </c>
      <c r="J67" s="131">
        <v>58</v>
      </c>
      <c r="K67" s="125">
        <v>64</v>
      </c>
      <c r="L67" s="125">
        <v>54</v>
      </c>
      <c r="M67" s="125">
        <v>65</v>
      </c>
      <c r="N67" s="125">
        <v>54</v>
      </c>
      <c r="O67" s="129">
        <v>46</v>
      </c>
      <c r="Q67" s="128" t="str">
        <f t="shared" si="8"/>
        <v>D/%</v>
      </c>
      <c r="R67" s="127">
        <f t="shared" si="9"/>
        <v>-15</v>
      </c>
      <c r="S67" s="127">
        <f t="shared" si="9"/>
        <v>-14</v>
      </c>
      <c r="T67" s="127">
        <f t="shared" si="9"/>
        <v>-14</v>
      </c>
      <c r="U67" s="127">
        <f t="shared" si="9"/>
        <v>-15</v>
      </c>
      <c r="V67" s="127">
        <f t="shared" si="9"/>
        <v>-13</v>
      </c>
      <c r="W67" s="127">
        <f t="shared" si="9"/>
        <v>5</v>
      </c>
    </row>
    <row r="68" spans="1:23" ht="12.75">
      <c r="A68" s="130" t="s">
        <v>11</v>
      </c>
      <c r="B68" s="131">
        <v>1.7</v>
      </c>
      <c r="C68" s="125">
        <v>2.8</v>
      </c>
      <c r="D68" s="125">
        <v>1.4</v>
      </c>
      <c r="E68" s="125">
        <v>2.6</v>
      </c>
      <c r="F68" s="125">
        <v>1.6</v>
      </c>
      <c r="G68" s="129">
        <v>2.9</v>
      </c>
      <c r="H68" s="125"/>
      <c r="I68" s="130" t="s">
        <v>11</v>
      </c>
      <c r="J68" s="131">
        <v>4.7</v>
      </c>
      <c r="K68" s="125">
        <v>5.7</v>
      </c>
      <c r="L68" s="125">
        <v>4.3</v>
      </c>
      <c r="M68" s="125">
        <v>6.2</v>
      </c>
      <c r="N68" s="125">
        <v>4.2</v>
      </c>
      <c r="O68" s="129">
        <v>5.8</v>
      </c>
      <c r="Q68" s="128" t="str">
        <f t="shared" si="8"/>
        <v>C/dB</v>
      </c>
      <c r="R68" s="127">
        <f t="shared" si="9"/>
        <v>-3</v>
      </c>
      <c r="S68" s="127">
        <f t="shared" si="9"/>
        <v>-2.9000000000000004</v>
      </c>
      <c r="T68" s="127">
        <f t="shared" si="9"/>
        <v>-2.9</v>
      </c>
      <c r="U68" s="127">
        <f t="shared" si="9"/>
        <v>-3.6</v>
      </c>
      <c r="V68" s="127">
        <f t="shared" si="9"/>
        <v>-2.6</v>
      </c>
      <c r="W68" s="127">
        <f t="shared" si="9"/>
        <v>-2.9</v>
      </c>
    </row>
    <row r="69" spans="1:23" ht="12.75">
      <c r="A69" s="130" t="s">
        <v>12</v>
      </c>
      <c r="B69" s="131">
        <v>83</v>
      </c>
      <c r="C69" s="125">
        <v>73</v>
      </c>
      <c r="D69" s="125">
        <v>87</v>
      </c>
      <c r="E69" s="125">
        <v>71</v>
      </c>
      <c r="F69" s="125">
        <v>83</v>
      </c>
      <c r="G69" s="129">
        <v>71</v>
      </c>
      <c r="H69" s="125"/>
      <c r="I69" s="130" t="s">
        <v>12</v>
      </c>
      <c r="J69" s="131">
        <v>53</v>
      </c>
      <c r="K69" s="125">
        <v>46</v>
      </c>
      <c r="L69" s="125">
        <v>57</v>
      </c>
      <c r="M69" s="125">
        <v>44</v>
      </c>
      <c r="N69" s="125">
        <v>57</v>
      </c>
      <c r="O69" s="129">
        <v>46</v>
      </c>
      <c r="Q69" s="128" t="str">
        <f t="shared" si="8"/>
        <v>TS/ms</v>
      </c>
      <c r="R69" s="127">
        <f t="shared" si="9"/>
        <v>30</v>
      </c>
      <c r="S69" s="127">
        <f t="shared" si="9"/>
        <v>27</v>
      </c>
      <c r="T69" s="127">
        <f t="shared" si="9"/>
        <v>30</v>
      </c>
      <c r="U69" s="127">
        <f t="shared" si="9"/>
        <v>27</v>
      </c>
      <c r="V69" s="127">
        <f t="shared" si="9"/>
        <v>26</v>
      </c>
      <c r="W69" s="127">
        <f t="shared" si="9"/>
        <v>25</v>
      </c>
    </row>
    <row r="70" spans="1:23" ht="12.75">
      <c r="A70" s="130" t="s">
        <v>13</v>
      </c>
      <c r="B70" s="131">
        <v>18.5</v>
      </c>
      <c r="C70" s="125">
        <v>19.7</v>
      </c>
      <c r="D70" s="125">
        <v>18.6</v>
      </c>
      <c r="E70" s="125">
        <v>19.3</v>
      </c>
      <c r="F70" s="125">
        <v>18.7</v>
      </c>
      <c r="G70" s="129">
        <v>19.7</v>
      </c>
      <c r="H70" s="125"/>
      <c r="I70" s="130" t="s">
        <v>13</v>
      </c>
      <c r="J70" s="131">
        <v>16.3</v>
      </c>
      <c r="K70" s="125">
        <v>18.2</v>
      </c>
      <c r="L70" s="125">
        <v>16.8</v>
      </c>
      <c r="M70" s="125">
        <v>17.8</v>
      </c>
      <c r="N70" s="125">
        <v>17.1</v>
      </c>
      <c r="O70" s="129">
        <v>18.3</v>
      </c>
      <c r="Q70" s="128" t="str">
        <f t="shared" si="8"/>
        <v>G/dB</v>
      </c>
      <c r="R70" s="127">
        <f t="shared" si="9"/>
        <v>2.1999999999999993</v>
      </c>
      <c r="S70" s="127">
        <f t="shared" si="9"/>
        <v>1.5</v>
      </c>
      <c r="T70" s="127">
        <f t="shared" si="9"/>
        <v>1.8000000000000007</v>
      </c>
      <c r="U70" s="127">
        <f t="shared" si="9"/>
        <v>1.5</v>
      </c>
      <c r="V70" s="127">
        <f t="shared" si="9"/>
        <v>1.5999999999999979</v>
      </c>
      <c r="W70" s="127">
        <f t="shared" si="9"/>
        <v>1.3999999999999986</v>
      </c>
    </row>
    <row r="71" spans="1:23" ht="12.75">
      <c r="A71" s="130" t="s">
        <v>14</v>
      </c>
      <c r="B71" s="131">
        <v>29.6</v>
      </c>
      <c r="C71" s="125">
        <v>21.8</v>
      </c>
      <c r="D71" s="125">
        <v>23.3</v>
      </c>
      <c r="E71" s="125">
        <v>21.4</v>
      </c>
      <c r="F71" s="125">
        <v>26.6</v>
      </c>
      <c r="G71" s="129">
        <v>26.2</v>
      </c>
      <c r="H71" s="125"/>
      <c r="I71" s="130" t="s">
        <v>14</v>
      </c>
      <c r="J71" s="131">
        <v>24.1</v>
      </c>
      <c r="K71" s="125">
        <v>21.3</v>
      </c>
      <c r="L71" s="125">
        <v>21.9</v>
      </c>
      <c r="M71" s="205">
        <v>18</v>
      </c>
      <c r="N71" s="125">
        <v>23.3</v>
      </c>
      <c r="O71" s="129">
        <v>23.5</v>
      </c>
      <c r="Q71" s="128" t="str">
        <f t="shared" si="8"/>
        <v>LF/%</v>
      </c>
      <c r="R71" s="127">
        <f t="shared" si="9"/>
        <v>5.5</v>
      </c>
      <c r="S71" s="127">
        <f t="shared" si="9"/>
        <v>0.5</v>
      </c>
      <c r="T71" s="127">
        <f t="shared" si="9"/>
        <v>1.4000000000000021</v>
      </c>
      <c r="U71" s="127">
        <f t="shared" si="9"/>
        <v>3.3999999999999986</v>
      </c>
      <c r="V71" s="127">
        <f t="shared" si="9"/>
        <v>3.3000000000000007</v>
      </c>
      <c r="W71" s="127">
        <f t="shared" si="9"/>
        <v>2.6999999999999993</v>
      </c>
    </row>
    <row r="72" spans="1:23" ht="12.75">
      <c r="A72" s="130" t="s">
        <v>15</v>
      </c>
      <c r="B72" s="131"/>
      <c r="C72" s="125"/>
      <c r="D72" s="125"/>
      <c r="E72" s="125"/>
      <c r="F72" s="125"/>
      <c r="G72" s="129"/>
      <c r="H72" s="125"/>
      <c r="I72" s="130" t="s">
        <v>15</v>
      </c>
      <c r="J72" s="131"/>
      <c r="K72" s="125"/>
      <c r="L72" s="125"/>
      <c r="M72" s="125"/>
      <c r="N72" s="125"/>
      <c r="O72" s="129"/>
      <c r="Q72" s="128" t="str">
        <f t="shared" si="8"/>
        <v>LFC/%</v>
      </c>
      <c r="R72" s="127">
        <f t="shared" si="9"/>
        <v>0</v>
      </c>
      <c r="S72" s="127">
        <f t="shared" si="9"/>
        <v>0</v>
      </c>
      <c r="T72" s="127">
        <f t="shared" si="9"/>
        <v>0</v>
      </c>
      <c r="U72" s="127">
        <f t="shared" si="9"/>
        <v>0</v>
      </c>
      <c r="V72" s="127">
        <f t="shared" si="9"/>
        <v>0</v>
      </c>
      <c r="W72" s="127">
        <f t="shared" si="9"/>
        <v>0</v>
      </c>
    </row>
    <row r="73" spans="1:23" ht="12.75">
      <c r="A73" s="134" t="s">
        <v>16</v>
      </c>
      <c r="B73" s="135"/>
      <c r="C73" s="132"/>
      <c r="D73" s="132"/>
      <c r="E73" s="132"/>
      <c r="F73" s="132"/>
      <c r="G73" s="133"/>
      <c r="H73" s="125"/>
      <c r="I73" s="134" t="s">
        <v>16</v>
      </c>
      <c r="J73" s="135"/>
      <c r="K73" s="132"/>
      <c r="L73" s="132"/>
      <c r="M73" s="132"/>
      <c r="N73" s="132"/>
      <c r="O73" s="133"/>
      <c r="Q73" s="128" t="str">
        <f t="shared" si="8"/>
        <v>IACC</v>
      </c>
      <c r="R73" s="127">
        <f t="shared" si="9"/>
        <v>0</v>
      </c>
      <c r="S73" s="127">
        <f t="shared" si="9"/>
        <v>0</v>
      </c>
      <c r="T73" s="127">
        <f t="shared" si="9"/>
        <v>0</v>
      </c>
      <c r="U73" s="127">
        <f t="shared" si="9"/>
        <v>0</v>
      </c>
      <c r="V73" s="127">
        <f t="shared" si="9"/>
        <v>0</v>
      </c>
      <c r="W73" s="127">
        <f t="shared" si="9"/>
        <v>0</v>
      </c>
    </row>
    <row r="74" spans="5:15" ht="12.75">
      <c r="E74" s="136"/>
      <c r="F74" s="136"/>
      <c r="G74" s="136"/>
      <c r="H74" s="136"/>
      <c r="M74" s="136"/>
      <c r="N74" s="136"/>
      <c r="O74" s="136"/>
    </row>
    <row r="75" spans="1:18" ht="12.75">
      <c r="A75" s="155" t="s">
        <v>21</v>
      </c>
      <c r="B75" s="156" t="s">
        <v>1</v>
      </c>
      <c r="E75" s="136"/>
      <c r="F75" s="136"/>
      <c r="G75" s="136"/>
      <c r="H75" s="136"/>
      <c r="I75" s="155" t="s">
        <v>21</v>
      </c>
      <c r="J75" s="156" t="s">
        <v>1</v>
      </c>
      <c r="M75" s="136"/>
      <c r="N75" s="136"/>
      <c r="O75" s="136"/>
      <c r="Q75" s="128" t="str">
        <f>+A75</f>
        <v>4000 Hz</v>
      </c>
      <c r="R75" s="128" t="str">
        <f>+B75</f>
        <v>octave</v>
      </c>
    </row>
    <row r="76" spans="1:23" ht="12.75">
      <c r="A76" s="142"/>
      <c r="B76" s="140" t="s">
        <v>2</v>
      </c>
      <c r="C76" s="140" t="s">
        <v>3</v>
      </c>
      <c r="D76" s="139" t="s">
        <v>4</v>
      </c>
      <c r="E76" s="139" t="s">
        <v>5</v>
      </c>
      <c r="F76" s="140" t="s">
        <v>6</v>
      </c>
      <c r="G76" s="139" t="s">
        <v>7</v>
      </c>
      <c r="H76" s="141"/>
      <c r="I76" s="142"/>
      <c r="J76" s="140" t="s">
        <v>2</v>
      </c>
      <c r="K76" s="140" t="s">
        <v>3</v>
      </c>
      <c r="L76" s="139" t="s">
        <v>4</v>
      </c>
      <c r="M76" s="139" t="s">
        <v>5</v>
      </c>
      <c r="N76" s="140" t="s">
        <v>6</v>
      </c>
      <c r="O76" s="139" t="s">
        <v>7</v>
      </c>
      <c r="Q76" s="128">
        <f>+A76</f>
        <v>0</v>
      </c>
      <c r="R76" s="128" t="str">
        <f>+B76</f>
        <v>S1R1</v>
      </c>
      <c r="S76" s="128" t="str">
        <f>+C76</f>
        <v>S1R2</v>
      </c>
      <c r="T76" s="128" t="str">
        <f>+D76</f>
        <v>S1R3</v>
      </c>
      <c r="U76" s="128" t="str">
        <f>+E76</f>
        <v>S2R1</v>
      </c>
      <c r="V76" s="128" t="str">
        <f>+F76</f>
        <v>S2R2</v>
      </c>
      <c r="W76" s="128" t="str">
        <f>+G76</f>
        <v>S2R3</v>
      </c>
    </row>
    <row r="77" spans="1:23" ht="12.75">
      <c r="A77" s="130" t="s">
        <v>8</v>
      </c>
      <c r="B77" s="145">
        <v>1.07</v>
      </c>
      <c r="C77" s="143">
        <v>0.97</v>
      </c>
      <c r="D77" s="143">
        <v>1.02</v>
      </c>
      <c r="E77" s="125">
        <v>0.96</v>
      </c>
      <c r="F77" s="143">
        <v>1.03</v>
      </c>
      <c r="G77" s="144">
        <v>1.07</v>
      </c>
      <c r="H77" s="125"/>
      <c r="I77" s="130" t="s">
        <v>8</v>
      </c>
      <c r="J77" s="145">
        <v>0.62</v>
      </c>
      <c r="K77" s="143">
        <v>0.54</v>
      </c>
      <c r="L77" s="143">
        <v>0.64</v>
      </c>
      <c r="M77" s="125">
        <v>0.58</v>
      </c>
      <c r="N77" s="143">
        <v>0.56</v>
      </c>
      <c r="O77" s="201">
        <v>0.6</v>
      </c>
      <c r="Q77" s="128" t="str">
        <f aca="true" t="shared" si="10" ref="Q77:Q85">+A77</f>
        <v>T30/s</v>
      </c>
      <c r="R77" s="127">
        <f aca="true" t="shared" si="11" ref="R77:W85">+B77-J77</f>
        <v>0.45000000000000007</v>
      </c>
      <c r="S77" s="127">
        <f t="shared" si="11"/>
        <v>0.42999999999999994</v>
      </c>
      <c r="T77" s="127">
        <f t="shared" si="11"/>
        <v>0.38</v>
      </c>
      <c r="U77" s="127">
        <f t="shared" si="11"/>
        <v>0.38</v>
      </c>
      <c r="V77" s="127">
        <f t="shared" si="11"/>
        <v>0.47</v>
      </c>
      <c r="W77" s="127">
        <f t="shared" si="11"/>
        <v>0.4700000000000001</v>
      </c>
    </row>
    <row r="78" spans="1:23" ht="12.75">
      <c r="A78" s="130" t="s">
        <v>9</v>
      </c>
      <c r="B78" s="131">
        <v>0.98</v>
      </c>
      <c r="C78" s="125">
        <v>0.92</v>
      </c>
      <c r="D78" s="125">
        <v>1.01</v>
      </c>
      <c r="E78" s="125">
        <v>0.91</v>
      </c>
      <c r="F78" s="125">
        <v>1.04</v>
      </c>
      <c r="G78" s="129">
        <v>0.91</v>
      </c>
      <c r="H78" s="125"/>
      <c r="I78" s="130" t="s">
        <v>9</v>
      </c>
      <c r="J78" s="131">
        <v>0.67</v>
      </c>
      <c r="K78" s="125">
        <v>0.62</v>
      </c>
      <c r="L78" s="125">
        <v>0.72</v>
      </c>
      <c r="M78" s="125">
        <v>0.58</v>
      </c>
      <c r="N78" s="125">
        <v>0.71</v>
      </c>
      <c r="O78" s="129">
        <v>0.62</v>
      </c>
      <c r="Q78" s="128" t="str">
        <f t="shared" si="10"/>
        <v>EDT/s</v>
      </c>
      <c r="R78" s="127">
        <f t="shared" si="11"/>
        <v>0.30999999999999994</v>
      </c>
      <c r="S78" s="127">
        <f t="shared" si="11"/>
        <v>0.30000000000000004</v>
      </c>
      <c r="T78" s="127">
        <f t="shared" si="11"/>
        <v>0.29000000000000004</v>
      </c>
      <c r="U78" s="127">
        <f t="shared" si="11"/>
        <v>0.33000000000000007</v>
      </c>
      <c r="V78" s="127">
        <f t="shared" si="11"/>
        <v>0.33000000000000007</v>
      </c>
      <c r="W78" s="127">
        <f t="shared" si="11"/>
        <v>0.29000000000000004</v>
      </c>
    </row>
    <row r="79" spans="1:23" ht="12.75">
      <c r="A79" s="130" t="s">
        <v>10</v>
      </c>
      <c r="B79" s="131">
        <v>51</v>
      </c>
      <c r="C79" s="125">
        <v>57</v>
      </c>
      <c r="D79" s="125">
        <v>50</v>
      </c>
      <c r="E79" s="125">
        <v>58</v>
      </c>
      <c r="F79" s="125">
        <v>47</v>
      </c>
      <c r="G79" s="129">
        <v>59</v>
      </c>
      <c r="H79" s="125"/>
      <c r="I79" s="130" t="s">
        <v>10</v>
      </c>
      <c r="J79" s="131">
        <v>68</v>
      </c>
      <c r="K79" s="125">
        <v>71</v>
      </c>
      <c r="L79" s="125">
        <v>64</v>
      </c>
      <c r="M79" s="125">
        <v>73</v>
      </c>
      <c r="N79" s="125">
        <v>63</v>
      </c>
      <c r="O79" s="129">
        <v>71</v>
      </c>
      <c r="Q79" s="128" t="str">
        <f t="shared" si="10"/>
        <v>D/%</v>
      </c>
      <c r="R79" s="127">
        <f t="shared" si="11"/>
        <v>-17</v>
      </c>
      <c r="S79" s="127">
        <f t="shared" si="11"/>
        <v>-14</v>
      </c>
      <c r="T79" s="127">
        <f t="shared" si="11"/>
        <v>-14</v>
      </c>
      <c r="U79" s="127">
        <f t="shared" si="11"/>
        <v>-15</v>
      </c>
      <c r="V79" s="127">
        <f t="shared" si="11"/>
        <v>-16</v>
      </c>
      <c r="W79" s="127">
        <f t="shared" si="11"/>
        <v>-12</v>
      </c>
    </row>
    <row r="80" spans="1:23" ht="12.75">
      <c r="A80" s="130" t="s">
        <v>11</v>
      </c>
      <c r="B80" s="131">
        <v>3.3</v>
      </c>
      <c r="C80" s="125">
        <v>4.2</v>
      </c>
      <c r="D80" s="125">
        <v>3.2</v>
      </c>
      <c r="E80" s="125">
        <v>4.3</v>
      </c>
      <c r="F80" s="125">
        <v>2.7</v>
      </c>
      <c r="G80" s="129">
        <v>4.3</v>
      </c>
      <c r="H80" s="125"/>
      <c r="I80" s="130" t="s">
        <v>11</v>
      </c>
      <c r="J80" s="131">
        <v>6.7</v>
      </c>
      <c r="K80" s="125">
        <v>7.5</v>
      </c>
      <c r="L80" s="125">
        <v>6.1</v>
      </c>
      <c r="M80" s="125">
        <v>7.8</v>
      </c>
      <c r="N80" s="205">
        <v>6</v>
      </c>
      <c r="O80" s="129">
        <v>7.5</v>
      </c>
      <c r="Q80" s="128" t="str">
        <f t="shared" si="10"/>
        <v>C/dB</v>
      </c>
      <c r="R80" s="127">
        <f t="shared" si="11"/>
        <v>-3.4000000000000004</v>
      </c>
      <c r="S80" s="127">
        <f t="shared" si="11"/>
        <v>-3.3</v>
      </c>
      <c r="T80" s="127">
        <f t="shared" si="11"/>
        <v>-2.8999999999999995</v>
      </c>
      <c r="U80" s="127">
        <f t="shared" si="11"/>
        <v>-3.5</v>
      </c>
      <c r="V80" s="127">
        <f t="shared" si="11"/>
        <v>-3.3</v>
      </c>
      <c r="W80" s="127">
        <f t="shared" si="11"/>
        <v>-3.2</v>
      </c>
    </row>
    <row r="81" spans="1:23" ht="12.75">
      <c r="A81" s="130" t="s">
        <v>12</v>
      </c>
      <c r="B81" s="131">
        <v>67</v>
      </c>
      <c r="C81" s="125">
        <v>59</v>
      </c>
      <c r="D81" s="125">
        <v>70</v>
      </c>
      <c r="E81" s="125">
        <v>58</v>
      </c>
      <c r="F81" s="125">
        <v>72</v>
      </c>
      <c r="G81" s="129">
        <v>59</v>
      </c>
      <c r="H81" s="125"/>
      <c r="I81" s="130" t="s">
        <v>12</v>
      </c>
      <c r="J81" s="131">
        <v>42</v>
      </c>
      <c r="K81" s="125">
        <v>37</v>
      </c>
      <c r="L81" s="125">
        <v>46</v>
      </c>
      <c r="M81" s="125">
        <v>35</v>
      </c>
      <c r="N81" s="125">
        <v>46</v>
      </c>
      <c r="O81" s="129">
        <v>37</v>
      </c>
      <c r="Q81" s="128" t="str">
        <f t="shared" si="10"/>
        <v>TS/ms</v>
      </c>
      <c r="R81" s="127">
        <f t="shared" si="11"/>
        <v>25</v>
      </c>
      <c r="S81" s="127">
        <f t="shared" si="11"/>
        <v>22</v>
      </c>
      <c r="T81" s="127">
        <f t="shared" si="11"/>
        <v>24</v>
      </c>
      <c r="U81" s="127">
        <f t="shared" si="11"/>
        <v>23</v>
      </c>
      <c r="V81" s="127">
        <f t="shared" si="11"/>
        <v>26</v>
      </c>
      <c r="W81" s="127">
        <f t="shared" si="11"/>
        <v>22</v>
      </c>
    </row>
    <row r="82" spans="1:23" ht="12.75">
      <c r="A82" s="130" t="s">
        <v>13</v>
      </c>
      <c r="B82" s="131">
        <v>17.9</v>
      </c>
      <c r="C82" s="125">
        <v>19.3</v>
      </c>
      <c r="D82" s="205">
        <v>18</v>
      </c>
      <c r="E82" s="125">
        <v>18.7</v>
      </c>
      <c r="F82" s="205">
        <v>18</v>
      </c>
      <c r="G82" s="129">
        <v>19.2</v>
      </c>
      <c r="H82" s="125"/>
      <c r="I82" s="130" t="s">
        <v>13</v>
      </c>
      <c r="J82" s="131">
        <v>15.9</v>
      </c>
      <c r="K82" s="125">
        <v>17.7</v>
      </c>
      <c r="L82" s="125">
        <v>16.3</v>
      </c>
      <c r="M82" s="125">
        <v>17.3</v>
      </c>
      <c r="N82" s="125">
        <v>16.3</v>
      </c>
      <c r="O82" s="129">
        <v>17.9</v>
      </c>
      <c r="Q82" s="128" t="str">
        <f t="shared" si="10"/>
        <v>G/dB</v>
      </c>
      <c r="R82" s="127">
        <f t="shared" si="11"/>
        <v>1.9999999999999982</v>
      </c>
      <c r="S82" s="127">
        <f t="shared" si="11"/>
        <v>1.6000000000000014</v>
      </c>
      <c r="T82" s="127">
        <f t="shared" si="11"/>
        <v>1.6999999999999993</v>
      </c>
      <c r="U82" s="127">
        <f t="shared" si="11"/>
        <v>1.3999999999999986</v>
      </c>
      <c r="V82" s="127">
        <f t="shared" si="11"/>
        <v>1.6999999999999993</v>
      </c>
      <c r="W82" s="127">
        <f t="shared" si="11"/>
        <v>1.3000000000000007</v>
      </c>
    </row>
    <row r="83" spans="1:23" ht="12.75">
      <c r="A83" s="130" t="s">
        <v>14</v>
      </c>
      <c r="B83" s="131">
        <v>27.8</v>
      </c>
      <c r="C83" s="125">
        <v>21.1</v>
      </c>
      <c r="D83" s="125">
        <v>23.9</v>
      </c>
      <c r="E83" s="205">
        <v>22</v>
      </c>
      <c r="F83" s="125">
        <v>26.1</v>
      </c>
      <c r="G83" s="129">
        <v>25.6</v>
      </c>
      <c r="H83" s="125"/>
      <c r="I83" s="130" t="s">
        <v>14</v>
      </c>
      <c r="J83" s="131">
        <v>20.9</v>
      </c>
      <c r="K83" s="205">
        <v>21</v>
      </c>
      <c r="L83" s="125">
        <v>23.4</v>
      </c>
      <c r="M83" s="125">
        <v>16.3</v>
      </c>
      <c r="N83" s="125">
        <v>22.4</v>
      </c>
      <c r="O83" s="129">
        <v>22.5</v>
      </c>
      <c r="Q83" s="128" t="str">
        <f t="shared" si="10"/>
        <v>LF/%</v>
      </c>
      <c r="R83" s="127">
        <f t="shared" si="11"/>
        <v>6.900000000000002</v>
      </c>
      <c r="S83" s="127">
        <f t="shared" si="11"/>
        <v>0.10000000000000142</v>
      </c>
      <c r="T83" s="127">
        <f t="shared" si="11"/>
        <v>0.5</v>
      </c>
      <c r="U83" s="127">
        <f t="shared" si="11"/>
        <v>5.699999999999999</v>
      </c>
      <c r="V83" s="127">
        <f t="shared" si="11"/>
        <v>3.700000000000003</v>
      </c>
      <c r="W83" s="127">
        <f t="shared" si="11"/>
        <v>3.1000000000000014</v>
      </c>
    </row>
    <row r="84" spans="1:23" ht="12.75">
      <c r="A84" s="130" t="s">
        <v>15</v>
      </c>
      <c r="B84" s="131"/>
      <c r="C84" s="125"/>
      <c r="D84" s="125"/>
      <c r="E84" s="125"/>
      <c r="F84" s="125"/>
      <c r="G84" s="129"/>
      <c r="H84" s="125"/>
      <c r="I84" s="130" t="s">
        <v>15</v>
      </c>
      <c r="J84" s="131"/>
      <c r="K84" s="125"/>
      <c r="L84" s="125"/>
      <c r="M84" s="125"/>
      <c r="N84" s="125"/>
      <c r="O84" s="129"/>
      <c r="Q84" s="128" t="str">
        <f t="shared" si="10"/>
        <v>LFC/%</v>
      </c>
      <c r="R84" s="127">
        <f t="shared" si="11"/>
        <v>0</v>
      </c>
      <c r="S84" s="127">
        <f t="shared" si="11"/>
        <v>0</v>
      </c>
      <c r="T84" s="127">
        <f t="shared" si="11"/>
        <v>0</v>
      </c>
      <c r="U84" s="127">
        <f t="shared" si="11"/>
        <v>0</v>
      </c>
      <c r="V84" s="127">
        <f t="shared" si="11"/>
        <v>0</v>
      </c>
      <c r="W84" s="127">
        <f t="shared" si="11"/>
        <v>0</v>
      </c>
    </row>
    <row r="85" spans="1:23" ht="12.75">
      <c r="A85" s="134" t="s">
        <v>16</v>
      </c>
      <c r="B85" s="135"/>
      <c r="C85" s="132"/>
      <c r="D85" s="132"/>
      <c r="E85" s="132"/>
      <c r="F85" s="132"/>
      <c r="G85" s="133"/>
      <c r="H85" s="125"/>
      <c r="I85" s="134" t="s">
        <v>16</v>
      </c>
      <c r="J85" s="135"/>
      <c r="K85" s="132"/>
      <c r="L85" s="132"/>
      <c r="M85" s="132"/>
      <c r="N85" s="132"/>
      <c r="O85" s="133"/>
      <c r="Q85" s="128" t="str">
        <f t="shared" si="10"/>
        <v>IACC</v>
      </c>
      <c r="R85" s="127">
        <f t="shared" si="11"/>
        <v>0</v>
      </c>
      <c r="S85" s="127">
        <f t="shared" si="11"/>
        <v>0</v>
      </c>
      <c r="T85" s="127">
        <f t="shared" si="11"/>
        <v>0</v>
      </c>
      <c r="U85" s="127">
        <f t="shared" si="11"/>
        <v>0</v>
      </c>
      <c r="V85" s="127">
        <f t="shared" si="11"/>
        <v>0</v>
      </c>
      <c r="W85" s="127">
        <f t="shared" si="11"/>
        <v>0</v>
      </c>
    </row>
    <row r="86" spans="5:15" ht="12.75">
      <c r="E86" s="136"/>
      <c r="F86" s="136"/>
      <c r="G86" s="136"/>
      <c r="H86" s="136"/>
      <c r="M86" s="136"/>
      <c r="N86" s="136"/>
      <c r="O86" s="136"/>
    </row>
    <row r="87" spans="5:15" ht="12.75">
      <c r="E87" s="136"/>
      <c r="F87" s="136"/>
      <c r="G87" s="136"/>
      <c r="H87" s="136"/>
      <c r="M87" s="136"/>
      <c r="N87" s="136"/>
      <c r="O87" s="136"/>
    </row>
    <row r="88" spans="1:15" ht="12.75">
      <c r="A88" s="146"/>
      <c r="E88" s="136"/>
      <c r="F88" s="136"/>
      <c r="G88" s="136"/>
      <c r="H88" s="136"/>
      <c r="I88" s="146"/>
      <c r="M88" s="136"/>
      <c r="N88" s="136"/>
      <c r="O88" s="136"/>
    </row>
    <row r="89" spans="5:15" ht="12.75">
      <c r="E89" s="136"/>
      <c r="F89" s="136"/>
      <c r="G89" s="136"/>
      <c r="H89" s="136"/>
      <c r="M89" s="136"/>
      <c r="N89" s="136"/>
      <c r="O89" s="136"/>
    </row>
    <row r="90" spans="5:15" ht="12.75">
      <c r="E90" s="136"/>
      <c r="F90" s="136"/>
      <c r="G90" s="136"/>
      <c r="H90" s="136"/>
      <c r="M90" s="136"/>
      <c r="N90" s="136"/>
      <c r="O90" s="136"/>
    </row>
    <row r="91" spans="5:15" ht="12.75">
      <c r="E91" s="136"/>
      <c r="F91" s="136"/>
      <c r="G91" s="136"/>
      <c r="H91" s="136"/>
      <c r="M91" s="136"/>
      <c r="N91" s="136"/>
      <c r="O91" s="136"/>
    </row>
    <row r="92" spans="5:15" ht="12.75">
      <c r="E92" s="136"/>
      <c r="F92" s="136"/>
      <c r="G92" s="136"/>
      <c r="H92" s="136"/>
      <c r="M92" s="136"/>
      <c r="N92" s="136"/>
      <c r="O92" s="136"/>
    </row>
    <row r="93" spans="5:15" ht="12.75">
      <c r="E93" s="136"/>
      <c r="F93" s="136"/>
      <c r="G93" s="136"/>
      <c r="H93" s="136"/>
      <c r="M93" s="136"/>
      <c r="N93" s="136"/>
      <c r="O93" s="136"/>
    </row>
  </sheetData>
  <printOptions/>
  <pageMargins left="0.75" right="0.75" top="1" bottom="1" header="0.4921259845" footer="0.4921259845"/>
  <pageSetup fitToHeight="1" fitToWidth="1" horizontalDpi="300" verticalDpi="300" orientation="portrait" paperSize="9" scale="52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W93"/>
  <sheetViews>
    <sheetView zoomScale="75" zoomScaleNormal="75" workbookViewId="0" topLeftCell="A1">
      <selection activeCell="A1" sqref="A1"/>
    </sheetView>
  </sheetViews>
  <sheetFormatPr defaultColWidth="11.5546875" defaultRowHeight="15"/>
  <cols>
    <col min="1" max="1" width="7.77734375" style="128" customWidth="1"/>
    <col min="2" max="4" width="6.77734375" style="160" customWidth="1"/>
    <col min="5" max="5" width="7.99609375" style="160" customWidth="1"/>
    <col min="6" max="7" width="6.77734375" style="160" customWidth="1"/>
    <col min="8" max="15" width="6.77734375" style="128" customWidth="1"/>
    <col min="16" max="16" width="8.88671875" style="128" customWidth="1" collapsed="1"/>
    <col min="17" max="17" width="11.5546875" style="128" customWidth="1" collapsed="1"/>
    <col min="18" max="23" width="11.5546875" style="128" customWidth="1"/>
    <col min="24" max="16384" width="8.88671875" style="128" customWidth="1"/>
  </cols>
  <sheetData>
    <row r="1" spans="1:10" ht="13.5" thickBot="1">
      <c r="A1" s="148"/>
      <c r="B1" s="159"/>
      <c r="C1" s="159"/>
      <c r="D1" s="159"/>
      <c r="E1" s="159"/>
      <c r="F1" s="159"/>
      <c r="G1" s="159"/>
      <c r="H1" s="148"/>
      <c r="I1" s="148"/>
      <c r="J1" s="148"/>
    </row>
    <row r="2" spans="1:6" ht="13.5" thickBot="1">
      <c r="A2" s="3"/>
      <c r="B2" s="47"/>
      <c r="F2" s="281"/>
    </row>
    <row r="3" ht="12.75">
      <c r="B3" s="281"/>
    </row>
    <row r="4" spans="2:8" ht="12.75">
      <c r="B4" s="282"/>
      <c r="E4" s="282"/>
      <c r="H4" s="283"/>
    </row>
    <row r="5" spans="1:7" ht="12.75">
      <c r="A5" s="150"/>
      <c r="B5" s="163"/>
      <c r="C5" s="282"/>
      <c r="D5" s="284"/>
      <c r="G5" s="165"/>
    </row>
    <row r="6" spans="1:3" ht="12" customHeight="1">
      <c r="A6" s="153"/>
      <c r="B6" s="163"/>
      <c r="C6" s="282"/>
    </row>
    <row r="7" spans="2:3" ht="12.75">
      <c r="B7" s="163"/>
      <c r="C7" s="285"/>
    </row>
    <row r="8" spans="1:7" ht="12.75">
      <c r="A8" s="150"/>
      <c r="B8" s="163"/>
      <c r="C8" s="163"/>
      <c r="G8" s="281"/>
    </row>
    <row r="9" spans="1:7" ht="12.75">
      <c r="A9" s="286"/>
      <c r="B9" s="163"/>
      <c r="C9" s="163"/>
      <c r="G9" s="281"/>
    </row>
    <row r="11" ht="12.75">
      <c r="A11" s="287"/>
    </row>
    <row r="12" ht="12.75">
      <c r="E12" s="281"/>
    </row>
    <row r="13" spans="1:2" ht="12.75">
      <c r="A13" s="82"/>
      <c r="B13" s="169"/>
    </row>
    <row r="14" ht="12.75">
      <c r="Q14" s="128" t="s">
        <v>32</v>
      </c>
    </row>
    <row r="15" spans="1:18" ht="12.75">
      <c r="A15" s="155"/>
      <c r="B15" s="170"/>
      <c r="E15" s="171"/>
      <c r="F15" s="171"/>
      <c r="G15" s="171"/>
      <c r="H15" s="136"/>
      <c r="I15" s="136"/>
      <c r="J15" s="198"/>
      <c r="K15" s="136"/>
      <c r="L15" s="136"/>
      <c r="M15" s="136"/>
      <c r="Q15" s="128">
        <f>+A15</f>
        <v>0</v>
      </c>
      <c r="R15" s="128">
        <f>+B15</f>
        <v>0</v>
      </c>
    </row>
    <row r="16" spans="1:23" ht="12.75">
      <c r="A16" s="142"/>
      <c r="B16" s="173"/>
      <c r="C16" s="173"/>
      <c r="D16" s="174"/>
      <c r="E16" s="174"/>
      <c r="F16" s="173"/>
      <c r="G16" s="174"/>
      <c r="H16" s="141"/>
      <c r="Q16" s="128">
        <f>+A16</f>
        <v>0</v>
      </c>
      <c r="R16" s="128">
        <f>+B16</f>
        <v>0</v>
      </c>
      <c r="S16" s="128">
        <f>+C16</f>
        <v>0</v>
      </c>
      <c r="T16" s="128">
        <f>+D16</f>
        <v>0</v>
      </c>
      <c r="U16" s="128">
        <f>+E16</f>
        <v>0</v>
      </c>
      <c r="V16" s="128">
        <f>+F16</f>
        <v>0</v>
      </c>
      <c r="W16" s="128">
        <f>+G16</f>
        <v>0</v>
      </c>
    </row>
    <row r="17" spans="1:23" ht="12.75">
      <c r="A17" s="130"/>
      <c r="B17" s="288"/>
      <c r="C17" s="289"/>
      <c r="D17" s="289"/>
      <c r="E17" s="290"/>
      <c r="F17" s="289"/>
      <c r="G17" s="291"/>
      <c r="H17" s="125"/>
      <c r="P17" s="136"/>
      <c r="Q17" s="128">
        <f aca="true" t="shared" si="0" ref="Q17:Q25">+A17</f>
        <v>0</v>
      </c>
      <c r="R17" s="127">
        <f aca="true" t="shared" si="1" ref="R17:W25">+B17-J17</f>
        <v>0</v>
      </c>
      <c r="S17" s="127">
        <f t="shared" si="1"/>
        <v>0</v>
      </c>
      <c r="T17" s="127">
        <f t="shared" si="1"/>
        <v>0</v>
      </c>
      <c r="U17" s="127">
        <f t="shared" si="1"/>
        <v>0</v>
      </c>
      <c r="V17" s="127">
        <f t="shared" si="1"/>
        <v>0</v>
      </c>
      <c r="W17" s="127">
        <f t="shared" si="1"/>
        <v>0</v>
      </c>
    </row>
    <row r="18" spans="1:23" ht="12.75">
      <c r="A18" s="130"/>
      <c r="B18" s="292"/>
      <c r="C18" s="290"/>
      <c r="D18" s="290"/>
      <c r="E18" s="290"/>
      <c r="F18" s="290"/>
      <c r="G18" s="293"/>
      <c r="H18" s="125"/>
      <c r="P18" s="136"/>
      <c r="Q18" s="128">
        <f t="shared" si="0"/>
        <v>0</v>
      </c>
      <c r="R18" s="127">
        <f t="shared" si="1"/>
        <v>0</v>
      </c>
      <c r="S18" s="127">
        <f t="shared" si="1"/>
        <v>0</v>
      </c>
      <c r="T18" s="127">
        <f t="shared" si="1"/>
        <v>0</v>
      </c>
      <c r="U18" s="127">
        <f t="shared" si="1"/>
        <v>0</v>
      </c>
      <c r="V18" s="127">
        <f t="shared" si="1"/>
        <v>0</v>
      </c>
      <c r="W18" s="127">
        <f t="shared" si="1"/>
        <v>0</v>
      </c>
    </row>
    <row r="19" spans="1:23" ht="12.75">
      <c r="A19" s="130"/>
      <c r="B19" s="292"/>
      <c r="C19" s="290"/>
      <c r="D19" s="290"/>
      <c r="E19" s="290"/>
      <c r="F19" s="290"/>
      <c r="G19" s="293"/>
      <c r="H19" s="125"/>
      <c r="P19" s="136"/>
      <c r="Q19" s="128">
        <f t="shared" si="0"/>
        <v>0</v>
      </c>
      <c r="R19" s="127">
        <f t="shared" si="1"/>
        <v>0</v>
      </c>
      <c r="S19" s="127">
        <f t="shared" si="1"/>
        <v>0</v>
      </c>
      <c r="T19" s="127">
        <f t="shared" si="1"/>
        <v>0</v>
      </c>
      <c r="U19" s="127">
        <f t="shared" si="1"/>
        <v>0</v>
      </c>
      <c r="V19" s="127">
        <f t="shared" si="1"/>
        <v>0</v>
      </c>
      <c r="W19" s="127">
        <f t="shared" si="1"/>
        <v>0</v>
      </c>
    </row>
    <row r="20" spans="1:23" ht="12.75">
      <c r="A20" s="130"/>
      <c r="B20" s="292"/>
      <c r="C20" s="290"/>
      <c r="D20" s="290"/>
      <c r="E20" s="290"/>
      <c r="F20" s="290"/>
      <c r="G20" s="293"/>
      <c r="H20" s="125"/>
      <c r="P20" s="136"/>
      <c r="Q20" s="128">
        <f t="shared" si="0"/>
        <v>0</v>
      </c>
      <c r="R20" s="127">
        <f t="shared" si="1"/>
        <v>0</v>
      </c>
      <c r="S20" s="127">
        <f t="shared" si="1"/>
        <v>0</v>
      </c>
      <c r="T20" s="127">
        <f t="shared" si="1"/>
        <v>0</v>
      </c>
      <c r="U20" s="127">
        <f t="shared" si="1"/>
        <v>0</v>
      </c>
      <c r="V20" s="127">
        <f t="shared" si="1"/>
        <v>0</v>
      </c>
      <c r="W20" s="127">
        <f t="shared" si="1"/>
        <v>0</v>
      </c>
    </row>
    <row r="21" spans="1:23" ht="12.75">
      <c r="A21" s="130"/>
      <c r="B21" s="292"/>
      <c r="C21" s="290"/>
      <c r="D21" s="290"/>
      <c r="E21" s="290"/>
      <c r="F21" s="290"/>
      <c r="G21" s="293"/>
      <c r="H21" s="125"/>
      <c r="Q21" s="128">
        <f t="shared" si="0"/>
        <v>0</v>
      </c>
      <c r="R21" s="127">
        <f t="shared" si="1"/>
        <v>0</v>
      </c>
      <c r="S21" s="127">
        <f t="shared" si="1"/>
        <v>0</v>
      </c>
      <c r="T21" s="127">
        <f t="shared" si="1"/>
        <v>0</v>
      </c>
      <c r="U21" s="127">
        <f t="shared" si="1"/>
        <v>0</v>
      </c>
      <c r="V21" s="127">
        <f t="shared" si="1"/>
        <v>0</v>
      </c>
      <c r="W21" s="127">
        <f t="shared" si="1"/>
        <v>0</v>
      </c>
    </row>
    <row r="22" spans="1:23" ht="12.75">
      <c r="A22" s="130"/>
      <c r="B22" s="292"/>
      <c r="C22" s="290"/>
      <c r="D22" s="290"/>
      <c r="E22" s="290"/>
      <c r="F22" s="290"/>
      <c r="G22" s="293"/>
      <c r="H22" s="125"/>
      <c r="Q22" s="128">
        <f t="shared" si="0"/>
        <v>0</v>
      </c>
      <c r="R22" s="127">
        <f t="shared" si="1"/>
        <v>0</v>
      </c>
      <c r="S22" s="127">
        <f t="shared" si="1"/>
        <v>0</v>
      </c>
      <c r="T22" s="127">
        <f t="shared" si="1"/>
        <v>0</v>
      </c>
      <c r="U22" s="127">
        <f t="shared" si="1"/>
        <v>0</v>
      </c>
      <c r="V22" s="127">
        <f t="shared" si="1"/>
        <v>0</v>
      </c>
      <c r="W22" s="127">
        <f t="shared" si="1"/>
        <v>0</v>
      </c>
    </row>
    <row r="23" spans="1:23" ht="12.75">
      <c r="A23" s="130"/>
      <c r="B23" s="292"/>
      <c r="C23" s="290"/>
      <c r="D23" s="290"/>
      <c r="E23" s="290"/>
      <c r="F23" s="290"/>
      <c r="G23" s="293"/>
      <c r="H23" s="125"/>
      <c r="Q23" s="128">
        <f t="shared" si="0"/>
        <v>0</v>
      </c>
      <c r="R23" s="127">
        <f t="shared" si="1"/>
        <v>0</v>
      </c>
      <c r="S23" s="127">
        <f t="shared" si="1"/>
        <v>0</v>
      </c>
      <c r="T23" s="127">
        <f t="shared" si="1"/>
        <v>0</v>
      </c>
      <c r="U23" s="127">
        <f t="shared" si="1"/>
        <v>0</v>
      </c>
      <c r="V23" s="127">
        <f t="shared" si="1"/>
        <v>0</v>
      </c>
      <c r="W23" s="127">
        <f t="shared" si="1"/>
        <v>0</v>
      </c>
    </row>
    <row r="24" spans="1:23" ht="12.75">
      <c r="A24" s="130"/>
      <c r="B24" s="292"/>
      <c r="C24" s="290"/>
      <c r="D24" s="290"/>
      <c r="E24" s="290"/>
      <c r="F24" s="290"/>
      <c r="G24" s="293"/>
      <c r="H24" s="125"/>
      <c r="I24" s="125"/>
      <c r="J24" s="125"/>
      <c r="K24" s="125"/>
      <c r="L24" s="157"/>
      <c r="M24" s="157"/>
      <c r="N24" s="157"/>
      <c r="O24" s="125"/>
      <c r="P24" s="125"/>
      <c r="Q24" s="128">
        <f t="shared" si="0"/>
        <v>0</v>
      </c>
      <c r="R24" s="127">
        <f t="shared" si="1"/>
        <v>0</v>
      </c>
      <c r="S24" s="127">
        <f t="shared" si="1"/>
        <v>0</v>
      </c>
      <c r="T24" s="127">
        <f t="shared" si="1"/>
        <v>0</v>
      </c>
      <c r="U24" s="127">
        <f t="shared" si="1"/>
        <v>0</v>
      </c>
      <c r="V24" s="127">
        <f t="shared" si="1"/>
        <v>0</v>
      </c>
      <c r="W24" s="127">
        <f t="shared" si="1"/>
        <v>0</v>
      </c>
    </row>
    <row r="25" spans="1:23" ht="12.75">
      <c r="A25" s="134"/>
      <c r="B25" s="294"/>
      <c r="C25" s="295"/>
      <c r="D25" s="295"/>
      <c r="E25" s="295"/>
      <c r="F25" s="295"/>
      <c r="G25" s="296"/>
      <c r="H25" s="125"/>
      <c r="I25" s="125"/>
      <c r="J25" s="125"/>
      <c r="K25" s="125"/>
      <c r="L25" s="125"/>
      <c r="M25" s="136"/>
      <c r="Q25" s="128">
        <f t="shared" si="0"/>
        <v>0</v>
      </c>
      <c r="R25" s="127">
        <f t="shared" si="1"/>
        <v>0</v>
      </c>
      <c r="S25" s="127">
        <f t="shared" si="1"/>
        <v>0</v>
      </c>
      <c r="T25" s="127">
        <f t="shared" si="1"/>
        <v>0</v>
      </c>
      <c r="U25" s="127">
        <f t="shared" si="1"/>
        <v>0</v>
      </c>
      <c r="V25" s="127">
        <f t="shared" si="1"/>
        <v>0</v>
      </c>
      <c r="W25" s="127">
        <f t="shared" si="1"/>
        <v>0</v>
      </c>
    </row>
    <row r="26" spans="5:13" ht="12.75">
      <c r="E26" s="171"/>
      <c r="F26" s="171"/>
      <c r="G26" s="171"/>
      <c r="H26" s="136"/>
      <c r="I26" s="136"/>
      <c r="J26" s="136"/>
      <c r="K26" s="136"/>
      <c r="L26" s="136"/>
      <c r="M26" s="136"/>
    </row>
    <row r="27" spans="1:18" ht="12.75">
      <c r="A27" s="155"/>
      <c r="B27" s="170"/>
      <c r="E27" s="171"/>
      <c r="F27" s="171"/>
      <c r="G27" s="171"/>
      <c r="H27" s="136"/>
      <c r="I27" s="136"/>
      <c r="J27" s="125"/>
      <c r="Q27" s="128">
        <f>+A27</f>
        <v>0</v>
      </c>
      <c r="R27" s="128">
        <f>+B27</f>
        <v>0</v>
      </c>
    </row>
    <row r="28" spans="1:23" ht="12.75">
      <c r="A28" s="142"/>
      <c r="B28" s="173"/>
      <c r="C28" s="173"/>
      <c r="D28" s="174"/>
      <c r="E28" s="174"/>
      <c r="F28" s="173"/>
      <c r="G28" s="174"/>
      <c r="H28" s="141"/>
      <c r="I28" s="141"/>
      <c r="J28" s="125"/>
      <c r="K28" s="125"/>
      <c r="L28" s="125"/>
      <c r="M28" s="125"/>
      <c r="N28" s="125"/>
      <c r="O28" s="125"/>
      <c r="P28" s="125"/>
      <c r="Q28" s="128">
        <f>+A28</f>
        <v>0</v>
      </c>
      <c r="R28" s="128">
        <f>+B28</f>
        <v>0</v>
      </c>
      <c r="S28" s="128">
        <f>+C28</f>
        <v>0</v>
      </c>
      <c r="T28" s="128">
        <f>+D28</f>
        <v>0</v>
      </c>
      <c r="U28" s="128">
        <f>+E28</f>
        <v>0</v>
      </c>
      <c r="V28" s="128">
        <f>+F28</f>
        <v>0</v>
      </c>
      <c r="W28" s="128">
        <f>+G28</f>
        <v>0</v>
      </c>
    </row>
    <row r="29" spans="1:23" ht="12.75">
      <c r="A29" s="130"/>
      <c r="B29" s="288"/>
      <c r="C29" s="289"/>
      <c r="D29" s="289"/>
      <c r="E29" s="290"/>
      <c r="F29" s="289"/>
      <c r="G29" s="291"/>
      <c r="H29" s="125"/>
      <c r="I29" s="125"/>
      <c r="J29" s="136"/>
      <c r="K29" s="136"/>
      <c r="L29" s="136"/>
      <c r="M29" s="136"/>
      <c r="N29" s="136"/>
      <c r="O29" s="136"/>
      <c r="P29" s="136"/>
      <c r="Q29" s="128">
        <f aca="true" t="shared" si="2" ref="Q29:Q37">+A29</f>
        <v>0</v>
      </c>
      <c r="R29" s="127">
        <f aca="true" t="shared" si="3" ref="R29:W37">+B29-J29</f>
        <v>0</v>
      </c>
      <c r="S29" s="127">
        <f t="shared" si="3"/>
        <v>0</v>
      </c>
      <c r="T29" s="127">
        <f t="shared" si="3"/>
        <v>0</v>
      </c>
      <c r="U29" s="127">
        <f t="shared" si="3"/>
        <v>0</v>
      </c>
      <c r="V29" s="127">
        <f t="shared" si="3"/>
        <v>0</v>
      </c>
      <c r="W29" s="127">
        <f t="shared" si="3"/>
        <v>0</v>
      </c>
    </row>
    <row r="30" spans="1:23" ht="12.75">
      <c r="A30" s="130"/>
      <c r="B30" s="292"/>
      <c r="C30" s="290"/>
      <c r="D30" s="290"/>
      <c r="E30" s="290"/>
      <c r="F30" s="290"/>
      <c r="G30" s="293"/>
      <c r="H30" s="125"/>
      <c r="I30" s="125"/>
      <c r="Q30" s="128">
        <f t="shared" si="2"/>
        <v>0</v>
      </c>
      <c r="R30" s="127">
        <f t="shared" si="3"/>
        <v>0</v>
      </c>
      <c r="S30" s="127">
        <f t="shared" si="3"/>
        <v>0</v>
      </c>
      <c r="T30" s="127">
        <f t="shared" si="3"/>
        <v>0</v>
      </c>
      <c r="U30" s="127">
        <f t="shared" si="3"/>
        <v>0</v>
      </c>
      <c r="V30" s="127">
        <f t="shared" si="3"/>
        <v>0</v>
      </c>
      <c r="W30" s="127">
        <f t="shared" si="3"/>
        <v>0</v>
      </c>
    </row>
    <row r="31" spans="1:23" ht="12.75">
      <c r="A31" s="130"/>
      <c r="B31" s="292"/>
      <c r="C31" s="290"/>
      <c r="D31" s="290"/>
      <c r="E31" s="290"/>
      <c r="F31" s="290"/>
      <c r="G31" s="293"/>
      <c r="H31" s="125"/>
      <c r="I31" s="125"/>
      <c r="J31" s="125"/>
      <c r="Q31" s="128">
        <f t="shared" si="2"/>
        <v>0</v>
      </c>
      <c r="R31" s="127">
        <f t="shared" si="3"/>
        <v>0</v>
      </c>
      <c r="S31" s="127">
        <f t="shared" si="3"/>
        <v>0</v>
      </c>
      <c r="T31" s="127">
        <f t="shared" si="3"/>
        <v>0</v>
      </c>
      <c r="U31" s="127">
        <f t="shared" si="3"/>
        <v>0</v>
      </c>
      <c r="V31" s="127">
        <f t="shared" si="3"/>
        <v>0</v>
      </c>
      <c r="W31" s="127">
        <f t="shared" si="3"/>
        <v>0</v>
      </c>
    </row>
    <row r="32" spans="1:23" ht="12.75">
      <c r="A32" s="130"/>
      <c r="B32" s="292"/>
      <c r="C32" s="290"/>
      <c r="D32" s="290"/>
      <c r="E32" s="290"/>
      <c r="F32" s="290"/>
      <c r="G32" s="293"/>
      <c r="H32" s="125"/>
      <c r="I32" s="125"/>
      <c r="J32" s="125"/>
      <c r="K32" s="136"/>
      <c r="Q32" s="128">
        <f t="shared" si="2"/>
        <v>0</v>
      </c>
      <c r="R32" s="127">
        <f t="shared" si="3"/>
        <v>0</v>
      </c>
      <c r="S32" s="127">
        <f t="shared" si="3"/>
        <v>0</v>
      </c>
      <c r="T32" s="127">
        <f t="shared" si="3"/>
        <v>0</v>
      </c>
      <c r="U32" s="127">
        <f t="shared" si="3"/>
        <v>0</v>
      </c>
      <c r="V32" s="127">
        <f t="shared" si="3"/>
        <v>0</v>
      </c>
      <c r="W32" s="127">
        <f t="shared" si="3"/>
        <v>0</v>
      </c>
    </row>
    <row r="33" spans="1:23" ht="12.75">
      <c r="A33" s="130"/>
      <c r="B33" s="292"/>
      <c r="C33" s="290"/>
      <c r="D33" s="290"/>
      <c r="E33" s="290"/>
      <c r="F33" s="290"/>
      <c r="G33" s="293"/>
      <c r="H33" s="125"/>
      <c r="I33" s="125"/>
      <c r="J33" s="125"/>
      <c r="K33" s="136"/>
      <c r="Q33" s="128">
        <f t="shared" si="2"/>
        <v>0</v>
      </c>
      <c r="R33" s="127">
        <f t="shared" si="3"/>
        <v>0</v>
      </c>
      <c r="S33" s="127">
        <f t="shared" si="3"/>
        <v>0</v>
      </c>
      <c r="T33" s="127">
        <f t="shared" si="3"/>
        <v>0</v>
      </c>
      <c r="U33" s="127">
        <f t="shared" si="3"/>
        <v>0</v>
      </c>
      <c r="V33" s="127">
        <f t="shared" si="3"/>
        <v>0</v>
      </c>
      <c r="W33" s="127">
        <f t="shared" si="3"/>
        <v>0</v>
      </c>
    </row>
    <row r="34" spans="1:23" ht="12.75">
      <c r="A34" s="130"/>
      <c r="B34" s="292"/>
      <c r="C34" s="290"/>
      <c r="D34" s="290"/>
      <c r="E34" s="290"/>
      <c r="F34" s="290"/>
      <c r="G34" s="293"/>
      <c r="H34" s="125"/>
      <c r="I34" s="125"/>
      <c r="J34" s="125"/>
      <c r="Q34" s="128">
        <f t="shared" si="2"/>
        <v>0</v>
      </c>
      <c r="R34" s="127">
        <f t="shared" si="3"/>
        <v>0</v>
      </c>
      <c r="S34" s="127">
        <f t="shared" si="3"/>
        <v>0</v>
      </c>
      <c r="T34" s="127">
        <f t="shared" si="3"/>
        <v>0</v>
      </c>
      <c r="U34" s="127">
        <f t="shared" si="3"/>
        <v>0</v>
      </c>
      <c r="V34" s="127">
        <f t="shared" si="3"/>
        <v>0</v>
      </c>
      <c r="W34" s="127">
        <f t="shared" si="3"/>
        <v>0</v>
      </c>
    </row>
    <row r="35" spans="1:23" ht="12.75">
      <c r="A35" s="130"/>
      <c r="B35" s="292"/>
      <c r="C35" s="290"/>
      <c r="D35" s="290"/>
      <c r="E35" s="290"/>
      <c r="F35" s="290"/>
      <c r="G35" s="293"/>
      <c r="H35" s="125"/>
      <c r="I35" s="125"/>
      <c r="J35" s="125"/>
      <c r="Q35" s="128">
        <f t="shared" si="2"/>
        <v>0</v>
      </c>
      <c r="R35" s="127">
        <f t="shared" si="3"/>
        <v>0</v>
      </c>
      <c r="S35" s="127">
        <f t="shared" si="3"/>
        <v>0</v>
      </c>
      <c r="T35" s="127">
        <f t="shared" si="3"/>
        <v>0</v>
      </c>
      <c r="U35" s="127">
        <f t="shared" si="3"/>
        <v>0</v>
      </c>
      <c r="V35" s="127">
        <f t="shared" si="3"/>
        <v>0</v>
      </c>
      <c r="W35" s="127">
        <f t="shared" si="3"/>
        <v>0</v>
      </c>
    </row>
    <row r="36" spans="1:23" ht="12.75">
      <c r="A36" s="130"/>
      <c r="B36" s="292"/>
      <c r="C36" s="290"/>
      <c r="D36" s="290"/>
      <c r="E36" s="290"/>
      <c r="F36" s="290"/>
      <c r="G36" s="293"/>
      <c r="H36" s="125"/>
      <c r="I36" s="125"/>
      <c r="J36" s="125"/>
      <c r="K36" s="136"/>
      <c r="M36" s="125"/>
      <c r="N36" s="125"/>
      <c r="O36" s="125"/>
      <c r="Q36" s="128">
        <f t="shared" si="2"/>
        <v>0</v>
      </c>
      <c r="R36" s="127">
        <f t="shared" si="3"/>
        <v>0</v>
      </c>
      <c r="S36" s="127">
        <f t="shared" si="3"/>
        <v>0</v>
      </c>
      <c r="T36" s="127">
        <f t="shared" si="3"/>
        <v>0</v>
      </c>
      <c r="U36" s="127">
        <f t="shared" si="3"/>
        <v>0</v>
      </c>
      <c r="V36" s="127">
        <f t="shared" si="3"/>
        <v>0</v>
      </c>
      <c r="W36" s="127">
        <f t="shared" si="3"/>
        <v>0</v>
      </c>
    </row>
    <row r="37" spans="1:23" ht="12.75">
      <c r="A37" s="134"/>
      <c r="B37" s="294"/>
      <c r="C37" s="295"/>
      <c r="D37" s="295"/>
      <c r="E37" s="295"/>
      <c r="F37" s="295"/>
      <c r="G37" s="296"/>
      <c r="H37" s="125"/>
      <c r="I37" s="125"/>
      <c r="J37" s="125"/>
      <c r="K37" s="136"/>
      <c r="Q37" s="128">
        <f t="shared" si="2"/>
        <v>0</v>
      </c>
      <c r="R37" s="127">
        <f t="shared" si="3"/>
        <v>0</v>
      </c>
      <c r="S37" s="127">
        <f t="shared" si="3"/>
        <v>0</v>
      </c>
      <c r="T37" s="127">
        <f t="shared" si="3"/>
        <v>0</v>
      </c>
      <c r="U37" s="127">
        <f t="shared" si="3"/>
        <v>0</v>
      </c>
      <c r="V37" s="127">
        <f t="shared" si="3"/>
        <v>0</v>
      </c>
      <c r="W37" s="127">
        <f t="shared" si="3"/>
        <v>0</v>
      </c>
    </row>
    <row r="38" spans="2:9" ht="12.75">
      <c r="B38" s="297"/>
      <c r="C38" s="297"/>
      <c r="D38" s="297"/>
      <c r="E38" s="175"/>
      <c r="F38" s="175"/>
      <c r="G38" s="175"/>
      <c r="H38" s="136"/>
      <c r="I38" s="136"/>
    </row>
    <row r="39" spans="1:18" ht="12.75">
      <c r="A39" s="155"/>
      <c r="B39" s="298"/>
      <c r="C39" s="297"/>
      <c r="D39" s="297"/>
      <c r="E39" s="175"/>
      <c r="F39" s="175"/>
      <c r="G39" s="175"/>
      <c r="H39" s="136"/>
      <c r="I39" s="136"/>
      <c r="Q39" s="128">
        <f>+A39</f>
        <v>0</v>
      </c>
      <c r="R39" s="128">
        <f>+B39</f>
        <v>0</v>
      </c>
    </row>
    <row r="40" spans="1:23" ht="12.75">
      <c r="A40" s="142"/>
      <c r="B40" s="173"/>
      <c r="C40" s="173"/>
      <c r="D40" s="174"/>
      <c r="E40" s="174"/>
      <c r="F40" s="173"/>
      <c r="G40" s="174"/>
      <c r="H40" s="141"/>
      <c r="I40" s="141"/>
      <c r="J40" s="125"/>
      <c r="K40" s="136"/>
      <c r="Q40" s="128">
        <f>+A40</f>
        <v>0</v>
      </c>
      <c r="R40" s="128">
        <f>+B40</f>
        <v>0</v>
      </c>
      <c r="S40" s="128">
        <f>+C40</f>
        <v>0</v>
      </c>
      <c r="T40" s="128">
        <f>+D40</f>
        <v>0</v>
      </c>
      <c r="U40" s="128">
        <f>+E40</f>
        <v>0</v>
      </c>
      <c r="V40" s="128">
        <f>+F40</f>
        <v>0</v>
      </c>
      <c r="W40" s="128">
        <f>+G40</f>
        <v>0</v>
      </c>
    </row>
    <row r="41" spans="1:23" ht="12.75">
      <c r="A41" s="130"/>
      <c r="B41" s="288"/>
      <c r="C41" s="289"/>
      <c r="D41" s="289"/>
      <c r="E41" s="290"/>
      <c r="F41" s="289"/>
      <c r="G41" s="291"/>
      <c r="H41" s="125"/>
      <c r="I41" s="125"/>
      <c r="J41" s="125"/>
      <c r="K41" s="136"/>
      <c r="Q41" s="128">
        <f aca="true" t="shared" si="4" ref="Q41:Q49">+A41</f>
        <v>0</v>
      </c>
      <c r="R41" s="127">
        <f aca="true" t="shared" si="5" ref="R41:W49">+B41-J41</f>
        <v>0</v>
      </c>
      <c r="S41" s="127">
        <f t="shared" si="5"/>
        <v>0</v>
      </c>
      <c r="T41" s="127">
        <f t="shared" si="5"/>
        <v>0</v>
      </c>
      <c r="U41" s="127">
        <f t="shared" si="5"/>
        <v>0</v>
      </c>
      <c r="V41" s="127">
        <f t="shared" si="5"/>
        <v>0</v>
      </c>
      <c r="W41" s="127">
        <f t="shared" si="5"/>
        <v>0</v>
      </c>
    </row>
    <row r="42" spans="1:23" ht="12.75">
      <c r="A42" s="130"/>
      <c r="B42" s="292"/>
      <c r="C42" s="290"/>
      <c r="D42" s="290"/>
      <c r="E42" s="290"/>
      <c r="F42" s="290"/>
      <c r="G42" s="293"/>
      <c r="H42" s="125"/>
      <c r="I42" s="125"/>
      <c r="J42" s="125"/>
      <c r="K42" s="136"/>
      <c r="Q42" s="128">
        <f t="shared" si="4"/>
        <v>0</v>
      </c>
      <c r="R42" s="127">
        <f t="shared" si="5"/>
        <v>0</v>
      </c>
      <c r="S42" s="127">
        <f t="shared" si="5"/>
        <v>0</v>
      </c>
      <c r="T42" s="127">
        <f t="shared" si="5"/>
        <v>0</v>
      </c>
      <c r="U42" s="127">
        <f t="shared" si="5"/>
        <v>0</v>
      </c>
      <c r="V42" s="127">
        <f t="shared" si="5"/>
        <v>0</v>
      </c>
      <c r="W42" s="127">
        <f t="shared" si="5"/>
        <v>0</v>
      </c>
    </row>
    <row r="43" spans="1:23" ht="12.75">
      <c r="A43" s="130"/>
      <c r="B43" s="292"/>
      <c r="C43" s="290"/>
      <c r="D43" s="290"/>
      <c r="E43" s="290"/>
      <c r="F43" s="290"/>
      <c r="G43" s="293"/>
      <c r="H43" s="125"/>
      <c r="I43" s="125"/>
      <c r="J43" s="125"/>
      <c r="K43" s="125"/>
      <c r="L43" s="136"/>
      <c r="Q43" s="128">
        <f t="shared" si="4"/>
        <v>0</v>
      </c>
      <c r="R43" s="127">
        <f t="shared" si="5"/>
        <v>0</v>
      </c>
      <c r="S43" s="127">
        <f t="shared" si="5"/>
        <v>0</v>
      </c>
      <c r="T43" s="127">
        <f t="shared" si="5"/>
        <v>0</v>
      </c>
      <c r="U43" s="127">
        <f t="shared" si="5"/>
        <v>0</v>
      </c>
      <c r="V43" s="127">
        <f t="shared" si="5"/>
        <v>0</v>
      </c>
      <c r="W43" s="127">
        <f t="shared" si="5"/>
        <v>0</v>
      </c>
    </row>
    <row r="44" spans="1:23" ht="12.75">
      <c r="A44" s="130"/>
      <c r="B44" s="292"/>
      <c r="C44" s="290"/>
      <c r="D44" s="290"/>
      <c r="E44" s="290"/>
      <c r="F44" s="290"/>
      <c r="G44" s="293"/>
      <c r="H44" s="125"/>
      <c r="I44" s="125"/>
      <c r="J44" s="125"/>
      <c r="K44" s="125"/>
      <c r="L44" s="125"/>
      <c r="M44" s="125"/>
      <c r="N44" s="125"/>
      <c r="O44" s="125"/>
      <c r="Q44" s="128">
        <f t="shared" si="4"/>
        <v>0</v>
      </c>
      <c r="R44" s="127">
        <f t="shared" si="5"/>
        <v>0</v>
      </c>
      <c r="S44" s="127">
        <f t="shared" si="5"/>
        <v>0</v>
      </c>
      <c r="T44" s="127">
        <f t="shared" si="5"/>
        <v>0</v>
      </c>
      <c r="U44" s="127">
        <f t="shared" si="5"/>
        <v>0</v>
      </c>
      <c r="V44" s="127">
        <f t="shared" si="5"/>
        <v>0</v>
      </c>
      <c r="W44" s="127">
        <f t="shared" si="5"/>
        <v>0</v>
      </c>
    </row>
    <row r="45" spans="1:23" ht="12.75">
      <c r="A45" s="130"/>
      <c r="B45" s="292"/>
      <c r="C45" s="290"/>
      <c r="D45" s="290"/>
      <c r="E45" s="290"/>
      <c r="F45" s="290"/>
      <c r="G45" s="293"/>
      <c r="H45" s="125"/>
      <c r="I45" s="125"/>
      <c r="Q45" s="128">
        <f t="shared" si="4"/>
        <v>0</v>
      </c>
      <c r="R45" s="127">
        <f t="shared" si="5"/>
        <v>0</v>
      </c>
      <c r="S45" s="127">
        <f t="shared" si="5"/>
        <v>0</v>
      </c>
      <c r="T45" s="127">
        <f t="shared" si="5"/>
        <v>0</v>
      </c>
      <c r="U45" s="127">
        <f t="shared" si="5"/>
        <v>0</v>
      </c>
      <c r="V45" s="127">
        <f t="shared" si="5"/>
        <v>0</v>
      </c>
      <c r="W45" s="127">
        <f t="shared" si="5"/>
        <v>0</v>
      </c>
    </row>
    <row r="46" spans="1:23" ht="12.75">
      <c r="A46" s="130"/>
      <c r="B46" s="292"/>
      <c r="C46" s="290"/>
      <c r="D46" s="290"/>
      <c r="E46" s="290"/>
      <c r="F46" s="290"/>
      <c r="G46" s="293"/>
      <c r="H46" s="125"/>
      <c r="I46" s="125"/>
      <c r="J46" s="125"/>
      <c r="K46" s="125"/>
      <c r="L46" s="136"/>
      <c r="Q46" s="128">
        <f t="shared" si="4"/>
        <v>0</v>
      </c>
      <c r="R46" s="127">
        <f t="shared" si="5"/>
        <v>0</v>
      </c>
      <c r="S46" s="127">
        <f t="shared" si="5"/>
        <v>0</v>
      </c>
      <c r="T46" s="127">
        <f t="shared" si="5"/>
        <v>0</v>
      </c>
      <c r="U46" s="127">
        <f t="shared" si="5"/>
        <v>0</v>
      </c>
      <c r="V46" s="127">
        <f t="shared" si="5"/>
        <v>0</v>
      </c>
      <c r="W46" s="127">
        <f t="shared" si="5"/>
        <v>0</v>
      </c>
    </row>
    <row r="47" spans="1:23" ht="12.75">
      <c r="A47" s="130"/>
      <c r="B47" s="292"/>
      <c r="C47" s="290"/>
      <c r="D47" s="290"/>
      <c r="E47" s="290"/>
      <c r="F47" s="290"/>
      <c r="G47" s="293"/>
      <c r="H47" s="125"/>
      <c r="I47" s="125"/>
      <c r="J47" s="125"/>
      <c r="K47" s="125"/>
      <c r="L47" s="125"/>
      <c r="M47" s="136"/>
      <c r="Q47" s="128">
        <f t="shared" si="4"/>
        <v>0</v>
      </c>
      <c r="R47" s="127">
        <f t="shared" si="5"/>
        <v>0</v>
      </c>
      <c r="S47" s="127">
        <f t="shared" si="5"/>
        <v>0</v>
      </c>
      <c r="T47" s="127">
        <f t="shared" si="5"/>
        <v>0</v>
      </c>
      <c r="U47" s="127">
        <f t="shared" si="5"/>
        <v>0</v>
      </c>
      <c r="V47" s="127">
        <f t="shared" si="5"/>
        <v>0</v>
      </c>
      <c r="W47" s="127">
        <f t="shared" si="5"/>
        <v>0</v>
      </c>
    </row>
    <row r="48" spans="1:23" ht="12.75">
      <c r="A48" s="130"/>
      <c r="B48" s="292"/>
      <c r="C48" s="290"/>
      <c r="D48" s="290"/>
      <c r="E48" s="290"/>
      <c r="F48" s="290"/>
      <c r="G48" s="293"/>
      <c r="H48" s="125"/>
      <c r="I48" s="125"/>
      <c r="J48" s="125"/>
      <c r="K48" s="125"/>
      <c r="L48" s="125"/>
      <c r="M48" s="125"/>
      <c r="N48" s="125"/>
      <c r="Q48" s="128">
        <f t="shared" si="4"/>
        <v>0</v>
      </c>
      <c r="R48" s="127">
        <f t="shared" si="5"/>
        <v>0</v>
      </c>
      <c r="S48" s="127">
        <f t="shared" si="5"/>
        <v>0</v>
      </c>
      <c r="T48" s="127">
        <f t="shared" si="5"/>
        <v>0</v>
      </c>
      <c r="U48" s="127">
        <f t="shared" si="5"/>
        <v>0</v>
      </c>
      <c r="V48" s="127">
        <f t="shared" si="5"/>
        <v>0</v>
      </c>
      <c r="W48" s="127">
        <f t="shared" si="5"/>
        <v>0</v>
      </c>
    </row>
    <row r="49" spans="1:23" ht="12.75">
      <c r="A49" s="134"/>
      <c r="B49" s="294"/>
      <c r="C49" s="295"/>
      <c r="D49" s="295"/>
      <c r="E49" s="295"/>
      <c r="F49" s="295"/>
      <c r="G49" s="296"/>
      <c r="H49" s="125"/>
      <c r="I49" s="125"/>
      <c r="J49" s="125"/>
      <c r="K49" s="125"/>
      <c r="L49" s="125"/>
      <c r="M49" s="125"/>
      <c r="N49" s="125"/>
      <c r="O49" s="125"/>
      <c r="P49" s="125"/>
      <c r="Q49" s="128">
        <f t="shared" si="4"/>
        <v>0</v>
      </c>
      <c r="R49" s="127">
        <f t="shared" si="5"/>
        <v>0</v>
      </c>
      <c r="S49" s="127">
        <f t="shared" si="5"/>
        <v>0</v>
      </c>
      <c r="T49" s="127">
        <f t="shared" si="5"/>
        <v>0</v>
      </c>
      <c r="U49" s="127">
        <f t="shared" si="5"/>
        <v>0</v>
      </c>
      <c r="V49" s="127">
        <f t="shared" si="5"/>
        <v>0</v>
      </c>
      <c r="W49" s="127">
        <f t="shared" si="5"/>
        <v>0</v>
      </c>
    </row>
    <row r="50" spans="5:23" ht="12.75">
      <c r="E50" s="171"/>
      <c r="F50" s="171"/>
      <c r="G50" s="171"/>
      <c r="H50" s="136"/>
      <c r="I50" s="136"/>
      <c r="J50" s="136"/>
      <c r="K50" s="125"/>
      <c r="L50" s="125"/>
      <c r="M50" s="125"/>
      <c r="N50" s="125"/>
      <c r="R50" s="127"/>
      <c r="S50" s="127"/>
      <c r="T50" s="127"/>
      <c r="U50" s="127"/>
      <c r="V50" s="127"/>
      <c r="W50" s="127"/>
    </row>
    <row r="51" spans="1:18" ht="12.75">
      <c r="A51" s="155"/>
      <c r="B51" s="170"/>
      <c r="E51" s="171"/>
      <c r="F51" s="171"/>
      <c r="G51" s="171"/>
      <c r="H51" s="136"/>
      <c r="K51" s="136"/>
      <c r="L51" s="125"/>
      <c r="M51" s="136"/>
      <c r="N51" s="136"/>
      <c r="Q51" s="128">
        <f>+A51</f>
        <v>0</v>
      </c>
      <c r="R51" s="128">
        <f>+B51</f>
        <v>0</v>
      </c>
    </row>
    <row r="52" spans="1:23" ht="12.75">
      <c r="A52" s="142"/>
      <c r="B52" s="173"/>
      <c r="C52" s="173"/>
      <c r="D52" s="174"/>
      <c r="E52" s="174"/>
      <c r="F52" s="173"/>
      <c r="G52" s="174"/>
      <c r="H52" s="141"/>
      <c r="L52" s="125"/>
      <c r="Q52" s="128">
        <f>+A52</f>
        <v>0</v>
      </c>
      <c r="R52" s="128">
        <f>+B52</f>
        <v>0</v>
      </c>
      <c r="S52" s="128">
        <f>+C52</f>
        <v>0</v>
      </c>
      <c r="T52" s="128">
        <f>+D52</f>
        <v>0</v>
      </c>
      <c r="U52" s="128">
        <f>+E52</f>
        <v>0</v>
      </c>
      <c r="V52" s="128">
        <f>+F52</f>
        <v>0</v>
      </c>
      <c r="W52" s="128">
        <f>+G52</f>
        <v>0</v>
      </c>
    </row>
    <row r="53" spans="1:23" ht="12.75">
      <c r="A53" s="130"/>
      <c r="B53" s="299"/>
      <c r="C53" s="299"/>
      <c r="D53" s="290"/>
      <c r="E53" s="290"/>
      <c r="F53" s="290"/>
      <c r="G53" s="291"/>
      <c r="H53" s="125"/>
      <c r="L53" s="125"/>
      <c r="Q53" s="128">
        <f aca="true" t="shared" si="6" ref="Q53:Q61">+A53</f>
        <v>0</v>
      </c>
      <c r="R53" s="127">
        <f aca="true" t="shared" si="7" ref="R53:W61">+B53-J53</f>
        <v>0</v>
      </c>
      <c r="S53" s="127">
        <f t="shared" si="7"/>
        <v>0</v>
      </c>
      <c r="T53" s="127">
        <f t="shared" si="7"/>
        <v>0</v>
      </c>
      <c r="U53" s="127">
        <f t="shared" si="7"/>
        <v>0</v>
      </c>
      <c r="V53" s="127">
        <f t="shared" si="7"/>
        <v>0</v>
      </c>
      <c r="W53" s="127">
        <f t="shared" si="7"/>
        <v>0</v>
      </c>
    </row>
    <row r="54" spans="1:23" ht="12.75">
      <c r="A54" s="130"/>
      <c r="B54" s="292"/>
      <c r="C54" s="290"/>
      <c r="D54" s="290"/>
      <c r="E54" s="290"/>
      <c r="F54" s="290"/>
      <c r="G54" s="293"/>
      <c r="H54" s="125"/>
      <c r="L54" s="125"/>
      <c r="Q54" s="128">
        <f t="shared" si="6"/>
        <v>0</v>
      </c>
      <c r="R54" s="127">
        <f t="shared" si="7"/>
        <v>0</v>
      </c>
      <c r="S54" s="127">
        <f t="shared" si="7"/>
        <v>0</v>
      </c>
      <c r="T54" s="127">
        <f t="shared" si="7"/>
        <v>0</v>
      </c>
      <c r="U54" s="127">
        <f t="shared" si="7"/>
        <v>0</v>
      </c>
      <c r="V54" s="127">
        <f t="shared" si="7"/>
        <v>0</v>
      </c>
      <c r="W54" s="127">
        <f t="shared" si="7"/>
        <v>0</v>
      </c>
    </row>
    <row r="55" spans="1:23" ht="12.75">
      <c r="A55" s="130"/>
      <c r="B55" s="292"/>
      <c r="C55" s="290"/>
      <c r="D55" s="290"/>
      <c r="E55" s="290"/>
      <c r="F55" s="290"/>
      <c r="G55" s="293"/>
      <c r="H55" s="125"/>
      <c r="I55" s="125"/>
      <c r="J55" s="125"/>
      <c r="K55" s="125"/>
      <c r="L55" s="125"/>
      <c r="M55" s="136"/>
      <c r="Q55" s="128">
        <f t="shared" si="6"/>
        <v>0</v>
      </c>
      <c r="R55" s="127">
        <f t="shared" si="7"/>
        <v>0</v>
      </c>
      <c r="S55" s="127">
        <f t="shared" si="7"/>
        <v>0</v>
      </c>
      <c r="T55" s="127">
        <f t="shared" si="7"/>
        <v>0</v>
      </c>
      <c r="U55" s="127">
        <f t="shared" si="7"/>
        <v>0</v>
      </c>
      <c r="V55" s="127">
        <f t="shared" si="7"/>
        <v>0</v>
      </c>
      <c r="W55" s="127">
        <f t="shared" si="7"/>
        <v>0</v>
      </c>
    </row>
    <row r="56" spans="1:23" ht="12.75">
      <c r="A56" s="130"/>
      <c r="B56" s="290"/>
      <c r="C56" s="290"/>
      <c r="D56" s="290"/>
      <c r="E56" s="290"/>
      <c r="F56" s="290"/>
      <c r="G56" s="293"/>
      <c r="H56" s="125"/>
      <c r="I56" s="125"/>
      <c r="J56" s="125"/>
      <c r="K56" s="125"/>
      <c r="L56" s="125"/>
      <c r="M56" s="136"/>
      <c r="Q56" s="128">
        <f t="shared" si="6"/>
        <v>0</v>
      </c>
      <c r="R56" s="127">
        <f t="shared" si="7"/>
        <v>0</v>
      </c>
      <c r="S56" s="127">
        <f t="shared" si="7"/>
        <v>0</v>
      </c>
      <c r="T56" s="127">
        <f t="shared" si="7"/>
        <v>0</v>
      </c>
      <c r="U56" s="127">
        <f t="shared" si="7"/>
        <v>0</v>
      </c>
      <c r="V56" s="127">
        <f t="shared" si="7"/>
        <v>0</v>
      </c>
      <c r="W56" s="127">
        <f t="shared" si="7"/>
        <v>0</v>
      </c>
    </row>
    <row r="57" spans="1:23" ht="13.5" customHeight="1">
      <c r="A57" s="130"/>
      <c r="B57" s="292"/>
      <c r="C57" s="290"/>
      <c r="D57" s="290"/>
      <c r="E57" s="290"/>
      <c r="F57" s="290"/>
      <c r="G57" s="293"/>
      <c r="H57" s="125"/>
      <c r="I57" s="125"/>
      <c r="J57" s="125"/>
      <c r="K57" s="125"/>
      <c r="L57" s="125"/>
      <c r="M57" s="136"/>
      <c r="Q57" s="128">
        <f t="shared" si="6"/>
        <v>0</v>
      </c>
      <c r="R57" s="127">
        <f t="shared" si="7"/>
        <v>0</v>
      </c>
      <c r="S57" s="127">
        <f t="shared" si="7"/>
        <v>0</v>
      </c>
      <c r="T57" s="127">
        <f t="shared" si="7"/>
        <v>0</v>
      </c>
      <c r="U57" s="127">
        <f t="shared" si="7"/>
        <v>0</v>
      </c>
      <c r="V57" s="127">
        <f t="shared" si="7"/>
        <v>0</v>
      </c>
      <c r="W57" s="127">
        <f t="shared" si="7"/>
        <v>0</v>
      </c>
    </row>
    <row r="58" spans="1:23" ht="12" customHeight="1">
      <c r="A58" s="130"/>
      <c r="B58" s="292"/>
      <c r="C58" s="290"/>
      <c r="D58" s="290"/>
      <c r="E58" s="290"/>
      <c r="F58" s="290"/>
      <c r="G58" s="293"/>
      <c r="H58" s="125"/>
      <c r="I58" s="125"/>
      <c r="J58" s="125"/>
      <c r="K58" s="125"/>
      <c r="L58" s="125"/>
      <c r="M58" s="136"/>
      <c r="Q58" s="128">
        <f t="shared" si="6"/>
        <v>0</v>
      </c>
      <c r="R58" s="127">
        <f t="shared" si="7"/>
        <v>0</v>
      </c>
      <c r="S58" s="127">
        <f t="shared" si="7"/>
        <v>0</v>
      </c>
      <c r="T58" s="127">
        <f t="shared" si="7"/>
        <v>0</v>
      </c>
      <c r="U58" s="127">
        <f t="shared" si="7"/>
        <v>0</v>
      </c>
      <c r="V58" s="127">
        <f t="shared" si="7"/>
        <v>0</v>
      </c>
      <c r="W58" s="127">
        <f t="shared" si="7"/>
        <v>0</v>
      </c>
    </row>
    <row r="59" spans="1:23" ht="12.75">
      <c r="A59" s="130"/>
      <c r="B59" s="292"/>
      <c r="C59" s="290"/>
      <c r="D59" s="290"/>
      <c r="E59" s="290"/>
      <c r="F59" s="290"/>
      <c r="G59" s="293"/>
      <c r="H59" s="125"/>
      <c r="I59" s="125"/>
      <c r="J59" s="125"/>
      <c r="K59" s="125"/>
      <c r="L59" s="125"/>
      <c r="M59" s="136"/>
      <c r="Q59" s="128">
        <f t="shared" si="6"/>
        <v>0</v>
      </c>
      <c r="R59" s="127">
        <f t="shared" si="7"/>
        <v>0</v>
      </c>
      <c r="S59" s="127">
        <f t="shared" si="7"/>
        <v>0</v>
      </c>
      <c r="T59" s="127">
        <f t="shared" si="7"/>
        <v>0</v>
      </c>
      <c r="U59" s="127">
        <f t="shared" si="7"/>
        <v>0</v>
      </c>
      <c r="V59" s="127">
        <f t="shared" si="7"/>
        <v>0</v>
      </c>
      <c r="W59" s="127">
        <f t="shared" si="7"/>
        <v>0</v>
      </c>
    </row>
    <row r="60" spans="1:23" ht="12.75">
      <c r="A60" s="130"/>
      <c r="B60" s="292"/>
      <c r="C60" s="290"/>
      <c r="D60" s="290"/>
      <c r="E60" s="290"/>
      <c r="F60" s="290"/>
      <c r="G60" s="293"/>
      <c r="H60" s="125"/>
      <c r="I60" s="125"/>
      <c r="J60" s="125"/>
      <c r="K60" s="125"/>
      <c r="L60" s="125"/>
      <c r="M60" s="136"/>
      <c r="Q60" s="128">
        <f t="shared" si="6"/>
        <v>0</v>
      </c>
      <c r="R60" s="127">
        <f t="shared" si="7"/>
        <v>0</v>
      </c>
      <c r="S60" s="127">
        <f t="shared" si="7"/>
        <v>0</v>
      </c>
      <c r="T60" s="127">
        <f t="shared" si="7"/>
        <v>0</v>
      </c>
      <c r="U60" s="127">
        <f t="shared" si="7"/>
        <v>0</v>
      </c>
      <c r="V60" s="127">
        <f t="shared" si="7"/>
        <v>0</v>
      </c>
      <c r="W60" s="127">
        <f t="shared" si="7"/>
        <v>0</v>
      </c>
    </row>
    <row r="61" spans="1:23" ht="12.75">
      <c r="A61" s="134"/>
      <c r="B61" s="294"/>
      <c r="C61" s="295"/>
      <c r="D61" s="295"/>
      <c r="E61" s="295"/>
      <c r="F61" s="295"/>
      <c r="G61" s="296"/>
      <c r="H61" s="125"/>
      <c r="I61" s="125"/>
      <c r="J61" s="125"/>
      <c r="K61" s="125"/>
      <c r="L61" s="125"/>
      <c r="M61" s="136"/>
      <c r="Q61" s="128">
        <f t="shared" si="6"/>
        <v>0</v>
      </c>
      <c r="R61" s="127">
        <f t="shared" si="7"/>
        <v>0</v>
      </c>
      <c r="S61" s="127">
        <f t="shared" si="7"/>
        <v>0</v>
      </c>
      <c r="T61" s="127">
        <f t="shared" si="7"/>
        <v>0</v>
      </c>
      <c r="U61" s="127">
        <f t="shared" si="7"/>
        <v>0</v>
      </c>
      <c r="V61" s="127">
        <f t="shared" si="7"/>
        <v>0</v>
      </c>
      <c r="W61" s="127">
        <f t="shared" si="7"/>
        <v>0</v>
      </c>
    </row>
    <row r="62" spans="5:9" ht="12.75">
      <c r="E62" s="171"/>
      <c r="F62" s="171"/>
      <c r="G62" s="171"/>
      <c r="H62" s="136"/>
      <c r="I62" s="136"/>
    </row>
    <row r="63" spans="1:18" ht="12.75">
      <c r="A63" s="155"/>
      <c r="B63" s="170"/>
      <c r="E63" s="171"/>
      <c r="F63" s="171"/>
      <c r="G63" s="171"/>
      <c r="H63" s="136"/>
      <c r="I63" s="136"/>
      <c r="Q63" s="128">
        <f>+A63</f>
        <v>0</v>
      </c>
      <c r="R63" s="128">
        <f>+B63</f>
        <v>0</v>
      </c>
    </row>
    <row r="64" spans="1:23" ht="12.75">
      <c r="A64" s="142"/>
      <c r="B64" s="173"/>
      <c r="C64" s="173"/>
      <c r="D64" s="174"/>
      <c r="E64" s="174"/>
      <c r="F64" s="173"/>
      <c r="G64" s="174"/>
      <c r="H64" s="141"/>
      <c r="I64" s="136"/>
      <c r="Q64" s="128">
        <f>+A64</f>
        <v>0</v>
      </c>
      <c r="R64" s="128">
        <f>+B64</f>
        <v>0</v>
      </c>
      <c r="S64" s="128">
        <f>+C64</f>
        <v>0</v>
      </c>
      <c r="T64" s="128">
        <f>+D64</f>
        <v>0</v>
      </c>
      <c r="U64" s="128">
        <f>+E64</f>
        <v>0</v>
      </c>
      <c r="V64" s="128">
        <f>+F64</f>
        <v>0</v>
      </c>
      <c r="W64" s="128">
        <f>+G64</f>
        <v>0</v>
      </c>
    </row>
    <row r="65" spans="1:23" ht="12.75">
      <c r="A65" s="130"/>
      <c r="B65" s="299"/>
      <c r="C65" s="299"/>
      <c r="D65" s="290"/>
      <c r="E65" s="290"/>
      <c r="F65" s="290"/>
      <c r="G65" s="291"/>
      <c r="H65" s="125"/>
      <c r="I65" s="125"/>
      <c r="J65" s="125"/>
      <c r="K65" s="136"/>
      <c r="M65" s="125"/>
      <c r="N65" s="125"/>
      <c r="O65" s="125"/>
      <c r="Q65" s="128">
        <f aca="true" t="shared" si="8" ref="Q65:Q73">+A65</f>
        <v>0</v>
      </c>
      <c r="R65" s="127">
        <f aca="true" t="shared" si="9" ref="R65:W73">+B65-J65</f>
        <v>0</v>
      </c>
      <c r="S65" s="127">
        <f t="shared" si="9"/>
        <v>0</v>
      </c>
      <c r="T65" s="127">
        <f t="shared" si="9"/>
        <v>0</v>
      </c>
      <c r="U65" s="127">
        <f t="shared" si="9"/>
        <v>0</v>
      </c>
      <c r="V65" s="127">
        <f t="shared" si="9"/>
        <v>0</v>
      </c>
      <c r="W65" s="127">
        <f t="shared" si="9"/>
        <v>0</v>
      </c>
    </row>
    <row r="66" spans="1:23" ht="12.75">
      <c r="A66" s="130"/>
      <c r="B66" s="292"/>
      <c r="C66" s="290"/>
      <c r="D66" s="290"/>
      <c r="E66" s="290"/>
      <c r="F66" s="290"/>
      <c r="G66" s="293"/>
      <c r="H66" s="125"/>
      <c r="I66" s="125"/>
      <c r="J66" s="125"/>
      <c r="K66" s="136"/>
      <c r="Q66" s="128">
        <f t="shared" si="8"/>
        <v>0</v>
      </c>
      <c r="R66" s="127">
        <f t="shared" si="9"/>
        <v>0</v>
      </c>
      <c r="S66" s="127">
        <f t="shared" si="9"/>
        <v>0</v>
      </c>
      <c r="T66" s="127">
        <f t="shared" si="9"/>
        <v>0</v>
      </c>
      <c r="U66" s="127">
        <f t="shared" si="9"/>
        <v>0</v>
      </c>
      <c r="V66" s="127">
        <f t="shared" si="9"/>
        <v>0</v>
      </c>
      <c r="W66" s="127">
        <f t="shared" si="9"/>
        <v>0</v>
      </c>
    </row>
    <row r="67" spans="1:23" ht="12.75">
      <c r="A67" s="130"/>
      <c r="B67" s="292"/>
      <c r="C67" s="290"/>
      <c r="D67" s="290"/>
      <c r="E67" s="290"/>
      <c r="F67" s="290"/>
      <c r="G67" s="293"/>
      <c r="H67" s="125"/>
      <c r="I67" s="125"/>
      <c r="J67" s="125"/>
      <c r="K67" s="136"/>
      <c r="Q67" s="128">
        <f t="shared" si="8"/>
        <v>0</v>
      </c>
      <c r="R67" s="127">
        <f t="shared" si="9"/>
        <v>0</v>
      </c>
      <c r="S67" s="127">
        <f t="shared" si="9"/>
        <v>0</v>
      </c>
      <c r="T67" s="127">
        <f t="shared" si="9"/>
        <v>0</v>
      </c>
      <c r="U67" s="127">
        <f t="shared" si="9"/>
        <v>0</v>
      </c>
      <c r="V67" s="127">
        <f t="shared" si="9"/>
        <v>0</v>
      </c>
      <c r="W67" s="127">
        <f t="shared" si="9"/>
        <v>0</v>
      </c>
    </row>
    <row r="68" spans="1:23" ht="12.75">
      <c r="A68" s="130"/>
      <c r="B68" s="290"/>
      <c r="C68" s="290"/>
      <c r="D68" s="290"/>
      <c r="E68" s="290"/>
      <c r="F68" s="290"/>
      <c r="G68" s="293"/>
      <c r="H68" s="125"/>
      <c r="I68" s="136"/>
      <c r="J68" s="125"/>
      <c r="K68" s="136"/>
      <c r="Q68" s="128">
        <f t="shared" si="8"/>
        <v>0</v>
      </c>
      <c r="R68" s="127">
        <f t="shared" si="9"/>
        <v>0</v>
      </c>
      <c r="S68" s="127">
        <f t="shared" si="9"/>
        <v>0</v>
      </c>
      <c r="T68" s="127">
        <f t="shared" si="9"/>
        <v>0</v>
      </c>
      <c r="U68" s="127">
        <f t="shared" si="9"/>
        <v>0</v>
      </c>
      <c r="V68" s="127">
        <f t="shared" si="9"/>
        <v>0</v>
      </c>
      <c r="W68" s="127">
        <f t="shared" si="9"/>
        <v>0</v>
      </c>
    </row>
    <row r="69" spans="1:23" ht="12.75">
      <c r="A69" s="130"/>
      <c r="B69" s="292"/>
      <c r="C69" s="290"/>
      <c r="D69" s="290"/>
      <c r="E69" s="290"/>
      <c r="F69" s="290"/>
      <c r="G69" s="293"/>
      <c r="H69" s="125"/>
      <c r="J69" s="125"/>
      <c r="K69" s="136"/>
      <c r="Q69" s="128">
        <f t="shared" si="8"/>
        <v>0</v>
      </c>
      <c r="R69" s="127">
        <f t="shared" si="9"/>
        <v>0</v>
      </c>
      <c r="S69" s="127">
        <f t="shared" si="9"/>
        <v>0</v>
      </c>
      <c r="T69" s="127">
        <f t="shared" si="9"/>
        <v>0</v>
      </c>
      <c r="U69" s="127">
        <f t="shared" si="9"/>
        <v>0</v>
      </c>
      <c r="V69" s="127">
        <f t="shared" si="9"/>
        <v>0</v>
      </c>
      <c r="W69" s="127">
        <f t="shared" si="9"/>
        <v>0</v>
      </c>
    </row>
    <row r="70" spans="1:23" ht="12.75">
      <c r="A70" s="130"/>
      <c r="B70" s="292"/>
      <c r="C70" s="290"/>
      <c r="D70" s="290"/>
      <c r="E70" s="290"/>
      <c r="F70" s="290"/>
      <c r="G70" s="293"/>
      <c r="H70" s="125"/>
      <c r="J70" s="125"/>
      <c r="K70" s="136"/>
      <c r="Q70" s="128">
        <f t="shared" si="8"/>
        <v>0</v>
      </c>
      <c r="R70" s="127">
        <f t="shared" si="9"/>
        <v>0</v>
      </c>
      <c r="S70" s="127">
        <f t="shared" si="9"/>
        <v>0</v>
      </c>
      <c r="T70" s="127">
        <f t="shared" si="9"/>
        <v>0</v>
      </c>
      <c r="U70" s="127">
        <f t="shared" si="9"/>
        <v>0</v>
      </c>
      <c r="V70" s="127">
        <f t="shared" si="9"/>
        <v>0</v>
      </c>
      <c r="W70" s="127">
        <f t="shared" si="9"/>
        <v>0</v>
      </c>
    </row>
    <row r="71" spans="1:23" ht="12.75">
      <c r="A71" s="130"/>
      <c r="B71" s="292"/>
      <c r="C71" s="290"/>
      <c r="D71" s="290"/>
      <c r="E71" s="290"/>
      <c r="F71" s="290"/>
      <c r="G71" s="293"/>
      <c r="H71" s="125"/>
      <c r="J71" s="125"/>
      <c r="K71" s="136"/>
      <c r="Q71" s="128">
        <f t="shared" si="8"/>
        <v>0</v>
      </c>
      <c r="R71" s="127">
        <f t="shared" si="9"/>
        <v>0</v>
      </c>
      <c r="S71" s="127">
        <f t="shared" si="9"/>
        <v>0</v>
      </c>
      <c r="T71" s="127">
        <f t="shared" si="9"/>
        <v>0</v>
      </c>
      <c r="U71" s="127">
        <f t="shared" si="9"/>
        <v>0</v>
      </c>
      <c r="V71" s="127">
        <f t="shared" si="9"/>
        <v>0</v>
      </c>
      <c r="W71" s="127">
        <f t="shared" si="9"/>
        <v>0</v>
      </c>
    </row>
    <row r="72" spans="1:23" ht="12.75">
      <c r="A72" s="130"/>
      <c r="B72" s="292"/>
      <c r="C72" s="290"/>
      <c r="D72" s="290"/>
      <c r="E72" s="290"/>
      <c r="F72" s="290"/>
      <c r="G72" s="293"/>
      <c r="H72" s="125"/>
      <c r="I72" s="125"/>
      <c r="J72" s="125"/>
      <c r="K72" s="125"/>
      <c r="L72" s="125"/>
      <c r="M72" s="136"/>
      <c r="Q72" s="128">
        <f t="shared" si="8"/>
        <v>0</v>
      </c>
      <c r="R72" s="127">
        <f t="shared" si="9"/>
        <v>0</v>
      </c>
      <c r="S72" s="127">
        <f t="shared" si="9"/>
        <v>0</v>
      </c>
      <c r="T72" s="127">
        <f t="shared" si="9"/>
        <v>0</v>
      </c>
      <c r="U72" s="127">
        <f t="shared" si="9"/>
        <v>0</v>
      </c>
      <c r="V72" s="127">
        <f t="shared" si="9"/>
        <v>0</v>
      </c>
      <c r="W72" s="127">
        <f t="shared" si="9"/>
        <v>0</v>
      </c>
    </row>
    <row r="73" spans="1:23" ht="12.75">
      <c r="A73" s="134"/>
      <c r="B73" s="294"/>
      <c r="C73" s="295"/>
      <c r="D73" s="295"/>
      <c r="E73" s="295"/>
      <c r="F73" s="295"/>
      <c r="G73" s="296"/>
      <c r="H73" s="125"/>
      <c r="I73" s="125"/>
      <c r="J73" s="125"/>
      <c r="K73" s="125"/>
      <c r="L73" s="125"/>
      <c r="M73" s="136"/>
      <c r="Q73" s="128">
        <f t="shared" si="8"/>
        <v>0</v>
      </c>
      <c r="R73" s="127">
        <f t="shared" si="9"/>
        <v>0</v>
      </c>
      <c r="S73" s="127">
        <f t="shared" si="9"/>
        <v>0</v>
      </c>
      <c r="T73" s="127">
        <f t="shared" si="9"/>
        <v>0</v>
      </c>
      <c r="U73" s="127">
        <f t="shared" si="9"/>
        <v>0</v>
      </c>
      <c r="V73" s="127">
        <f t="shared" si="9"/>
        <v>0</v>
      </c>
      <c r="W73" s="127">
        <f t="shared" si="9"/>
        <v>0</v>
      </c>
    </row>
    <row r="74" spans="5:13" ht="12.75">
      <c r="E74" s="171"/>
      <c r="F74" s="171"/>
      <c r="G74" s="171"/>
      <c r="H74" s="136"/>
      <c r="I74" s="136"/>
      <c r="J74" s="136"/>
      <c r="K74" s="136"/>
      <c r="L74" s="136"/>
      <c r="M74" s="136"/>
    </row>
    <row r="75" spans="1:18" ht="12.75">
      <c r="A75" s="155"/>
      <c r="B75" s="170"/>
      <c r="E75" s="171"/>
      <c r="F75" s="171"/>
      <c r="G75" s="171"/>
      <c r="H75" s="136"/>
      <c r="I75" s="136"/>
      <c r="J75" s="198"/>
      <c r="K75" s="136"/>
      <c r="L75" s="136"/>
      <c r="M75" s="136"/>
      <c r="Q75" s="128">
        <f>+A75</f>
        <v>0</v>
      </c>
      <c r="R75" s="128">
        <f>+B75</f>
        <v>0</v>
      </c>
    </row>
    <row r="76" spans="1:23" ht="12.75">
      <c r="A76" s="142"/>
      <c r="B76" s="173"/>
      <c r="C76" s="173"/>
      <c r="D76" s="174"/>
      <c r="E76" s="174"/>
      <c r="F76" s="173"/>
      <c r="G76" s="174"/>
      <c r="H76" s="141"/>
      <c r="I76" s="125"/>
      <c r="J76" s="136"/>
      <c r="K76" s="136"/>
      <c r="L76" s="136"/>
      <c r="M76" s="136"/>
      <c r="N76" s="136"/>
      <c r="Q76" s="128">
        <f>+A76</f>
        <v>0</v>
      </c>
      <c r="R76" s="128">
        <f>+B76</f>
        <v>0</v>
      </c>
      <c r="S76" s="128">
        <f>+C76</f>
        <v>0</v>
      </c>
      <c r="T76" s="128">
        <f>+D76</f>
        <v>0</v>
      </c>
      <c r="U76" s="128">
        <f>+E76</f>
        <v>0</v>
      </c>
      <c r="V76" s="128">
        <f>+F76</f>
        <v>0</v>
      </c>
      <c r="W76" s="128">
        <f>+G76</f>
        <v>0</v>
      </c>
    </row>
    <row r="77" spans="1:23" ht="12.75">
      <c r="A77" s="130"/>
      <c r="B77" s="288"/>
      <c r="C77" s="289"/>
      <c r="D77" s="289"/>
      <c r="E77" s="290"/>
      <c r="F77" s="289"/>
      <c r="G77" s="291"/>
      <c r="H77" s="125"/>
      <c r="I77" s="125"/>
      <c r="J77" s="136"/>
      <c r="K77" s="136"/>
      <c r="L77" s="136"/>
      <c r="M77" s="136"/>
      <c r="N77" s="136"/>
      <c r="Q77" s="128">
        <f aca="true" t="shared" si="10" ref="Q77:Q85">+A77</f>
        <v>0</v>
      </c>
      <c r="R77" s="127">
        <f aca="true" t="shared" si="11" ref="R77:W85">+B77-J77</f>
        <v>0</v>
      </c>
      <c r="S77" s="127">
        <f t="shared" si="11"/>
        <v>0</v>
      </c>
      <c r="T77" s="127">
        <f t="shared" si="11"/>
        <v>0</v>
      </c>
      <c r="U77" s="127">
        <f t="shared" si="11"/>
        <v>0</v>
      </c>
      <c r="V77" s="127">
        <f t="shared" si="11"/>
        <v>0</v>
      </c>
      <c r="W77" s="127">
        <f t="shared" si="11"/>
        <v>0</v>
      </c>
    </row>
    <row r="78" spans="1:23" ht="12.75">
      <c r="A78" s="130"/>
      <c r="B78" s="292"/>
      <c r="C78" s="290"/>
      <c r="D78" s="290"/>
      <c r="E78" s="290"/>
      <c r="F78" s="290"/>
      <c r="G78" s="293"/>
      <c r="H78" s="125"/>
      <c r="I78" s="125"/>
      <c r="J78" s="136"/>
      <c r="K78" s="136"/>
      <c r="L78" s="136"/>
      <c r="M78" s="136"/>
      <c r="N78" s="136"/>
      <c r="Q78" s="128">
        <f t="shared" si="10"/>
        <v>0</v>
      </c>
      <c r="R78" s="127">
        <f t="shared" si="11"/>
        <v>0</v>
      </c>
      <c r="S78" s="127">
        <f t="shared" si="11"/>
        <v>0</v>
      </c>
      <c r="T78" s="127">
        <f t="shared" si="11"/>
        <v>0</v>
      </c>
      <c r="U78" s="127">
        <f t="shared" si="11"/>
        <v>0</v>
      </c>
      <c r="V78" s="127">
        <f t="shared" si="11"/>
        <v>0</v>
      </c>
      <c r="W78" s="127">
        <f t="shared" si="11"/>
        <v>0</v>
      </c>
    </row>
    <row r="79" spans="1:23" ht="12.75">
      <c r="A79" s="130"/>
      <c r="B79" s="292"/>
      <c r="C79" s="290"/>
      <c r="D79" s="290"/>
      <c r="E79" s="290"/>
      <c r="F79" s="290"/>
      <c r="G79" s="293"/>
      <c r="H79" s="125"/>
      <c r="I79" s="125"/>
      <c r="J79" s="136"/>
      <c r="K79" s="136"/>
      <c r="L79" s="136"/>
      <c r="M79" s="136"/>
      <c r="N79" s="136"/>
      <c r="Q79" s="128">
        <f t="shared" si="10"/>
        <v>0</v>
      </c>
      <c r="R79" s="127">
        <f t="shared" si="11"/>
        <v>0</v>
      </c>
      <c r="S79" s="127">
        <f t="shared" si="11"/>
        <v>0</v>
      </c>
      <c r="T79" s="127">
        <f t="shared" si="11"/>
        <v>0</v>
      </c>
      <c r="U79" s="127">
        <f t="shared" si="11"/>
        <v>0</v>
      </c>
      <c r="V79" s="127">
        <f t="shared" si="11"/>
        <v>0</v>
      </c>
      <c r="W79" s="127">
        <f t="shared" si="11"/>
        <v>0</v>
      </c>
    </row>
    <row r="80" spans="1:23" ht="12.75">
      <c r="A80" s="130"/>
      <c r="B80" s="292"/>
      <c r="C80" s="290"/>
      <c r="D80" s="290"/>
      <c r="E80" s="290"/>
      <c r="F80" s="290"/>
      <c r="G80" s="293"/>
      <c r="H80" s="125"/>
      <c r="I80" s="136"/>
      <c r="J80" s="136"/>
      <c r="K80" s="136"/>
      <c r="L80" s="136"/>
      <c r="M80" s="136"/>
      <c r="N80" s="136"/>
      <c r="Q80" s="128">
        <f t="shared" si="10"/>
        <v>0</v>
      </c>
      <c r="R80" s="127">
        <f t="shared" si="11"/>
        <v>0</v>
      </c>
      <c r="S80" s="127">
        <f t="shared" si="11"/>
        <v>0</v>
      </c>
      <c r="T80" s="127">
        <f t="shared" si="11"/>
        <v>0</v>
      </c>
      <c r="U80" s="127">
        <f t="shared" si="11"/>
        <v>0</v>
      </c>
      <c r="V80" s="127">
        <f t="shared" si="11"/>
        <v>0</v>
      </c>
      <c r="W80" s="127">
        <f t="shared" si="11"/>
        <v>0</v>
      </c>
    </row>
    <row r="81" spans="1:23" ht="12.75">
      <c r="A81" s="130"/>
      <c r="B81" s="292"/>
      <c r="C81" s="290"/>
      <c r="D81" s="290"/>
      <c r="E81" s="290"/>
      <c r="F81" s="290"/>
      <c r="G81" s="293"/>
      <c r="H81" s="125"/>
      <c r="Q81" s="128">
        <f t="shared" si="10"/>
        <v>0</v>
      </c>
      <c r="R81" s="127">
        <f t="shared" si="11"/>
        <v>0</v>
      </c>
      <c r="S81" s="127">
        <f t="shared" si="11"/>
        <v>0</v>
      </c>
      <c r="T81" s="127">
        <f t="shared" si="11"/>
        <v>0</v>
      </c>
      <c r="U81" s="127">
        <f t="shared" si="11"/>
        <v>0</v>
      </c>
      <c r="V81" s="127">
        <f t="shared" si="11"/>
        <v>0</v>
      </c>
      <c r="W81" s="127">
        <f t="shared" si="11"/>
        <v>0</v>
      </c>
    </row>
    <row r="82" spans="1:23" ht="12.75">
      <c r="A82" s="130"/>
      <c r="B82" s="292"/>
      <c r="C82" s="290"/>
      <c r="D82" s="290"/>
      <c r="E82" s="290"/>
      <c r="F82" s="290"/>
      <c r="G82" s="293"/>
      <c r="H82" s="125"/>
      <c r="Q82" s="128">
        <f t="shared" si="10"/>
        <v>0</v>
      </c>
      <c r="R82" s="127">
        <f t="shared" si="11"/>
        <v>0</v>
      </c>
      <c r="S82" s="127">
        <f t="shared" si="11"/>
        <v>0</v>
      </c>
      <c r="T82" s="127">
        <f t="shared" si="11"/>
        <v>0</v>
      </c>
      <c r="U82" s="127">
        <f t="shared" si="11"/>
        <v>0</v>
      </c>
      <c r="V82" s="127">
        <f t="shared" si="11"/>
        <v>0</v>
      </c>
      <c r="W82" s="127">
        <f t="shared" si="11"/>
        <v>0</v>
      </c>
    </row>
    <row r="83" spans="1:23" ht="12.75">
      <c r="A83" s="130"/>
      <c r="B83" s="292"/>
      <c r="C83" s="290"/>
      <c r="D83" s="290"/>
      <c r="E83" s="290"/>
      <c r="F83" s="290"/>
      <c r="G83" s="293"/>
      <c r="H83" s="125"/>
      <c r="I83" s="125"/>
      <c r="J83" s="125"/>
      <c r="K83" s="125"/>
      <c r="L83" s="125"/>
      <c r="M83" s="136"/>
      <c r="Q83" s="128">
        <f t="shared" si="10"/>
        <v>0</v>
      </c>
      <c r="R83" s="127">
        <f t="shared" si="11"/>
        <v>0</v>
      </c>
      <c r="S83" s="127">
        <f t="shared" si="11"/>
        <v>0</v>
      </c>
      <c r="T83" s="127">
        <f t="shared" si="11"/>
        <v>0</v>
      </c>
      <c r="U83" s="127">
        <f t="shared" si="11"/>
        <v>0</v>
      </c>
      <c r="V83" s="127">
        <f t="shared" si="11"/>
        <v>0</v>
      </c>
      <c r="W83" s="127">
        <f t="shared" si="11"/>
        <v>0</v>
      </c>
    </row>
    <row r="84" spans="1:23" ht="12.75">
      <c r="A84" s="130"/>
      <c r="B84" s="292"/>
      <c r="C84" s="290"/>
      <c r="D84" s="290"/>
      <c r="E84" s="290"/>
      <c r="F84" s="290"/>
      <c r="G84" s="293"/>
      <c r="H84" s="125"/>
      <c r="I84" s="125"/>
      <c r="J84" s="125"/>
      <c r="K84" s="125"/>
      <c r="L84" s="125"/>
      <c r="M84" s="136"/>
      <c r="Q84" s="128">
        <f t="shared" si="10"/>
        <v>0</v>
      </c>
      <c r="R84" s="127">
        <f t="shared" si="11"/>
        <v>0</v>
      </c>
      <c r="S84" s="127">
        <f t="shared" si="11"/>
        <v>0</v>
      </c>
      <c r="T84" s="127">
        <f t="shared" si="11"/>
        <v>0</v>
      </c>
      <c r="U84" s="127">
        <f t="shared" si="11"/>
        <v>0</v>
      </c>
      <c r="V84" s="127">
        <f t="shared" si="11"/>
        <v>0</v>
      </c>
      <c r="W84" s="127">
        <f t="shared" si="11"/>
        <v>0</v>
      </c>
    </row>
    <row r="85" spans="1:23" ht="12.75">
      <c r="A85" s="134"/>
      <c r="B85" s="294"/>
      <c r="C85" s="295"/>
      <c r="D85" s="295"/>
      <c r="E85" s="295"/>
      <c r="F85" s="295"/>
      <c r="G85" s="296"/>
      <c r="H85" s="125"/>
      <c r="I85" s="125"/>
      <c r="J85" s="125"/>
      <c r="K85" s="125"/>
      <c r="L85" s="125"/>
      <c r="M85" s="136"/>
      <c r="Q85" s="128">
        <f t="shared" si="10"/>
        <v>0</v>
      </c>
      <c r="R85" s="127">
        <f t="shared" si="11"/>
        <v>0</v>
      </c>
      <c r="S85" s="127">
        <f t="shared" si="11"/>
        <v>0</v>
      </c>
      <c r="T85" s="127">
        <f t="shared" si="11"/>
        <v>0</v>
      </c>
      <c r="U85" s="127">
        <f t="shared" si="11"/>
        <v>0</v>
      </c>
      <c r="V85" s="127">
        <f t="shared" si="11"/>
        <v>0</v>
      </c>
      <c r="W85" s="127">
        <f t="shared" si="11"/>
        <v>0</v>
      </c>
    </row>
    <row r="86" spans="5:13" ht="12.75">
      <c r="E86" s="171"/>
      <c r="F86" s="171"/>
      <c r="G86" s="171"/>
      <c r="H86" s="136"/>
      <c r="I86" s="136"/>
      <c r="J86" s="136"/>
      <c r="K86" s="136"/>
      <c r="L86" s="136"/>
      <c r="M86" s="136"/>
    </row>
    <row r="87" spans="5:13" ht="12.75">
      <c r="E87" s="171"/>
      <c r="F87" s="171"/>
      <c r="G87" s="171"/>
      <c r="H87" s="136"/>
      <c r="I87" s="136"/>
      <c r="J87" s="136"/>
      <c r="K87" s="136"/>
      <c r="L87" s="136"/>
      <c r="M87" s="136"/>
    </row>
    <row r="88" spans="1:13" ht="12.75">
      <c r="A88" s="146"/>
      <c r="E88" s="171"/>
      <c r="F88" s="171"/>
      <c r="G88" s="171"/>
      <c r="H88" s="136"/>
      <c r="I88" s="136"/>
      <c r="J88" s="136"/>
      <c r="K88" s="136"/>
      <c r="L88" s="136"/>
      <c r="M88" s="136"/>
    </row>
    <row r="89" spans="5:13" ht="12.75">
      <c r="E89" s="171"/>
      <c r="F89" s="171"/>
      <c r="G89" s="171"/>
      <c r="H89" s="136"/>
      <c r="I89" s="136"/>
      <c r="J89" s="136"/>
      <c r="K89" s="136"/>
      <c r="L89" s="136"/>
      <c r="M89" s="136"/>
    </row>
    <row r="90" spans="5:13" ht="12.75">
      <c r="E90" s="171"/>
      <c r="F90" s="171"/>
      <c r="G90" s="171"/>
      <c r="H90" s="136"/>
      <c r="I90" s="136"/>
      <c r="J90" s="136"/>
      <c r="K90" s="136"/>
      <c r="L90" s="136"/>
      <c r="M90" s="136"/>
    </row>
    <row r="91" spans="5:13" ht="12.75">
      <c r="E91" s="171"/>
      <c r="F91" s="171"/>
      <c r="G91" s="171"/>
      <c r="H91" s="136"/>
      <c r="I91" s="136"/>
      <c r="J91" s="136"/>
      <c r="K91" s="136"/>
      <c r="L91" s="136"/>
      <c r="M91" s="136"/>
    </row>
    <row r="92" spans="5:13" ht="12.75">
      <c r="E92" s="171"/>
      <c r="F92" s="171"/>
      <c r="G92" s="171"/>
      <c r="H92" s="136"/>
      <c r="I92" s="136"/>
      <c r="J92" s="136"/>
      <c r="K92" s="136"/>
      <c r="L92" s="136"/>
      <c r="M92" s="136"/>
    </row>
    <row r="93" spans="5:13" ht="12.75">
      <c r="E93" s="171"/>
      <c r="F93" s="171"/>
      <c r="G93" s="171"/>
      <c r="H93" s="136"/>
      <c r="I93" s="136"/>
      <c r="J93" s="136"/>
      <c r="K93" s="136"/>
      <c r="L93" s="136"/>
      <c r="M93" s="136"/>
    </row>
  </sheetData>
  <printOptions/>
  <pageMargins left="0.75" right="0.75" top="1" bottom="1" header="0.4921259845" footer="0.4921259845"/>
  <pageSetup fitToHeight="1" fitToWidth="1" horizontalDpi="300" verticalDpi="300" orientation="portrait" paperSize="9" scale="54" r:id="rId1"/>
  <headerFooter alignWithMargins="0">
    <oddHeader>&amp;C&amp;A</oddHeader>
    <oddFooter>&amp;LPTB 1.401&amp;CSeite 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AU93"/>
  <sheetViews>
    <sheetView zoomScale="75" zoomScaleNormal="75" workbookViewId="0" topLeftCell="A1">
      <selection activeCell="F37" sqref="F37"/>
    </sheetView>
  </sheetViews>
  <sheetFormatPr defaultColWidth="11.5546875" defaultRowHeight="15"/>
  <cols>
    <col min="1" max="1" width="7.77734375" style="128" customWidth="1"/>
    <col min="2" max="4" width="6.77734375" style="128" customWidth="1"/>
    <col min="5" max="5" width="8.21484375" style="128" customWidth="1"/>
    <col min="6" max="16" width="6.77734375" style="128" customWidth="1"/>
    <col min="17" max="17" width="11.5546875" style="128" customWidth="1" collapsed="1"/>
    <col min="18" max="24" width="11.5546875" style="128" customWidth="1"/>
    <col min="25" max="25" width="7.77734375" style="128" customWidth="1"/>
    <col min="26" max="28" width="6.77734375" style="128" customWidth="1"/>
    <col min="29" max="29" width="8.21484375" style="128" customWidth="1"/>
    <col min="30" max="40" width="6.77734375" style="128" customWidth="1"/>
    <col min="41" max="41" width="11.5546875" style="128" customWidth="1" collapsed="1"/>
    <col min="42" max="16384" width="11.5546875" style="128" customWidth="1"/>
  </cols>
  <sheetData>
    <row r="1" spans="1:34" ht="13.5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</row>
    <row r="2" spans="1:26" ht="13.5" thickBot="1">
      <c r="A2" s="3"/>
      <c r="B2" s="4"/>
      <c r="Y2" s="3"/>
      <c r="Z2" s="4"/>
    </row>
    <row r="4" spans="8:32" ht="12.75">
      <c r="H4" s="231"/>
      <c r="AF4" s="231"/>
    </row>
    <row r="5" spans="1:31" ht="12.75">
      <c r="A5" s="150"/>
      <c r="B5" s="151"/>
      <c r="C5" s="151"/>
      <c r="D5" s="152"/>
      <c r="G5" s="150"/>
      <c r="Y5" s="150"/>
      <c r="Z5" s="151"/>
      <c r="AA5" s="151"/>
      <c r="AB5" s="152"/>
      <c r="AE5" s="150"/>
    </row>
    <row r="6" spans="1:28" ht="12" customHeight="1">
      <c r="A6" s="153"/>
      <c r="B6" s="151"/>
      <c r="C6" s="150"/>
      <c r="Y6" s="153"/>
      <c r="Z6" s="151"/>
      <c r="AB6" s="150"/>
    </row>
    <row r="7" spans="2:28" ht="12.75">
      <c r="B7" s="151"/>
      <c r="C7" s="150"/>
      <c r="Z7" s="151"/>
      <c r="AB7" s="150"/>
    </row>
    <row r="8" spans="1:27" ht="12.75">
      <c r="A8" s="150"/>
      <c r="B8" s="151"/>
      <c r="C8" s="151"/>
      <c r="Y8" s="150"/>
      <c r="Z8" s="151"/>
      <c r="AA8" s="151"/>
    </row>
    <row r="11" spans="5:30" ht="12.75">
      <c r="E11" s="154"/>
      <c r="AD11" s="194"/>
    </row>
    <row r="12" spans="1:26" ht="12.75">
      <c r="A12" s="82"/>
      <c r="B12" s="82"/>
      <c r="Y12" s="82"/>
      <c r="Z12" s="82"/>
    </row>
    <row r="14" spans="1:17" ht="12.75">
      <c r="A14" s="128" t="s">
        <v>27</v>
      </c>
      <c r="I14" s="128" t="s">
        <v>28</v>
      </c>
      <c r="Q14" s="128" t="s">
        <v>32</v>
      </c>
    </row>
    <row r="15" spans="1:39" ht="12.75">
      <c r="A15" s="155" t="s">
        <v>0</v>
      </c>
      <c r="B15" s="156" t="s">
        <v>1</v>
      </c>
      <c r="E15" s="136"/>
      <c r="F15" s="136"/>
      <c r="G15" s="136"/>
      <c r="H15" s="136"/>
      <c r="I15" s="155" t="s">
        <v>0</v>
      </c>
      <c r="J15" s="156" t="s">
        <v>1</v>
      </c>
      <c r="M15" s="136"/>
      <c r="N15" s="136"/>
      <c r="O15" s="136"/>
      <c r="Q15" s="128" t="str">
        <f>+A15</f>
        <v>125 Hz</v>
      </c>
      <c r="R15" s="128" t="str">
        <f>+B15</f>
        <v>octave</v>
      </c>
      <c r="Y15" s="155"/>
      <c r="Z15" s="156"/>
      <c r="AC15" s="136"/>
      <c r="AD15" s="136"/>
      <c r="AE15" s="136"/>
      <c r="AF15" s="136"/>
      <c r="AG15" s="155"/>
      <c r="AH15" s="156"/>
      <c r="AK15" s="136"/>
      <c r="AL15" s="136"/>
      <c r="AM15" s="136"/>
    </row>
    <row r="16" spans="1:40" ht="12.75">
      <c r="A16" s="142"/>
      <c r="B16" s="140" t="s">
        <v>2</v>
      </c>
      <c r="C16" s="140" t="s">
        <v>3</v>
      </c>
      <c r="D16" s="139" t="s">
        <v>4</v>
      </c>
      <c r="E16" s="139" t="s">
        <v>5</v>
      </c>
      <c r="F16" s="140" t="s">
        <v>6</v>
      </c>
      <c r="G16" s="139" t="s">
        <v>7</v>
      </c>
      <c r="H16" s="141"/>
      <c r="I16" s="142"/>
      <c r="J16" s="140" t="s">
        <v>2</v>
      </c>
      <c r="K16" s="140" t="s">
        <v>3</v>
      </c>
      <c r="L16" s="139" t="s">
        <v>4</v>
      </c>
      <c r="M16" s="139" t="s">
        <v>5</v>
      </c>
      <c r="N16" s="140" t="s">
        <v>6</v>
      </c>
      <c r="O16" s="139" t="s">
        <v>7</v>
      </c>
      <c r="P16" s="157"/>
      <c r="Q16" s="128">
        <f>+A16</f>
        <v>0</v>
      </c>
      <c r="R16" s="128" t="str">
        <f>+B16</f>
        <v>S1R1</v>
      </c>
      <c r="S16" s="128" t="str">
        <f>+C16</f>
        <v>S1R2</v>
      </c>
      <c r="T16" s="128" t="str">
        <f>+D16</f>
        <v>S1R3</v>
      </c>
      <c r="U16" s="128" t="str">
        <f>+E16</f>
        <v>S2R1</v>
      </c>
      <c r="V16" s="128" t="str">
        <f>+F16</f>
        <v>S2R2</v>
      </c>
      <c r="W16" s="128" t="str">
        <f>+G16</f>
        <v>S2R3</v>
      </c>
      <c r="Y16" s="142"/>
      <c r="Z16" s="140"/>
      <c r="AA16" s="140"/>
      <c r="AB16" s="139"/>
      <c r="AC16" s="139"/>
      <c r="AD16" s="140"/>
      <c r="AE16" s="139"/>
      <c r="AF16" s="141"/>
      <c r="AG16" s="142"/>
      <c r="AH16" s="140"/>
      <c r="AI16" s="140"/>
      <c r="AJ16" s="139"/>
      <c r="AK16" s="139"/>
      <c r="AL16" s="140"/>
      <c r="AM16" s="139"/>
      <c r="AN16" s="157"/>
    </row>
    <row r="17" spans="1:47" ht="12.75">
      <c r="A17" s="130" t="s">
        <v>8</v>
      </c>
      <c r="B17" s="145">
        <v>0.79</v>
      </c>
      <c r="C17" s="143">
        <v>0.79</v>
      </c>
      <c r="D17" s="143">
        <v>0.8</v>
      </c>
      <c r="E17" s="125">
        <v>0.79</v>
      </c>
      <c r="F17" s="143">
        <v>0.78</v>
      </c>
      <c r="G17" s="144">
        <v>0.79</v>
      </c>
      <c r="H17" s="125"/>
      <c r="I17" s="130" t="s">
        <v>8</v>
      </c>
      <c r="J17" s="145">
        <v>0.77</v>
      </c>
      <c r="K17" s="143">
        <v>0.78</v>
      </c>
      <c r="L17" s="143">
        <v>0.78</v>
      </c>
      <c r="M17" s="125">
        <v>0.77</v>
      </c>
      <c r="N17" s="143">
        <v>0.77</v>
      </c>
      <c r="O17" s="144">
        <v>0.78</v>
      </c>
      <c r="P17" s="158"/>
      <c r="Q17" s="128" t="str">
        <f aca="true" t="shared" si="0" ref="Q17:Q25">+A17</f>
        <v>T30/s</v>
      </c>
      <c r="R17" s="127">
        <f aca="true" t="shared" si="1" ref="R17:W25">+B17-J17</f>
        <v>0.020000000000000018</v>
      </c>
      <c r="S17" s="127">
        <f t="shared" si="1"/>
        <v>0.010000000000000009</v>
      </c>
      <c r="T17" s="127">
        <f t="shared" si="1"/>
        <v>0.020000000000000018</v>
      </c>
      <c r="U17" s="127">
        <f t="shared" si="1"/>
        <v>0.020000000000000018</v>
      </c>
      <c r="V17" s="127">
        <f t="shared" si="1"/>
        <v>0.010000000000000009</v>
      </c>
      <c r="W17" s="127">
        <f t="shared" si="1"/>
        <v>0.010000000000000009</v>
      </c>
      <c r="Y17" s="130"/>
      <c r="Z17" s="145"/>
      <c r="AA17" s="143"/>
      <c r="AB17" s="143"/>
      <c r="AC17" s="125"/>
      <c r="AD17" s="143"/>
      <c r="AE17" s="144"/>
      <c r="AF17" s="125"/>
      <c r="AG17" s="130"/>
      <c r="AH17" s="145"/>
      <c r="AI17" s="143"/>
      <c r="AJ17" s="143"/>
      <c r="AK17" s="125"/>
      <c r="AL17" s="143"/>
      <c r="AM17" s="144"/>
      <c r="AN17" s="158"/>
      <c r="AP17" s="127"/>
      <c r="AQ17" s="127"/>
      <c r="AR17" s="127"/>
      <c r="AS17" s="127"/>
      <c r="AT17" s="127"/>
      <c r="AU17" s="127"/>
    </row>
    <row r="18" spans="1:47" ht="12.75">
      <c r="A18" s="130" t="s">
        <v>9</v>
      </c>
      <c r="B18" s="131">
        <v>0.79</v>
      </c>
      <c r="C18" s="125">
        <v>0.76</v>
      </c>
      <c r="D18" s="125">
        <v>0.79</v>
      </c>
      <c r="E18" s="125">
        <v>0.75</v>
      </c>
      <c r="F18" s="125">
        <v>0.77</v>
      </c>
      <c r="G18" s="129">
        <v>0.74</v>
      </c>
      <c r="H18" s="125"/>
      <c r="I18" s="130" t="s">
        <v>9</v>
      </c>
      <c r="J18" s="131">
        <v>0.76</v>
      </c>
      <c r="K18" s="125">
        <v>0.76</v>
      </c>
      <c r="L18" s="125">
        <v>0.81</v>
      </c>
      <c r="M18" s="125">
        <v>0.75</v>
      </c>
      <c r="N18" s="125">
        <v>0.78</v>
      </c>
      <c r="O18" s="129">
        <v>0.75</v>
      </c>
      <c r="P18" s="158"/>
      <c r="Q18" s="128" t="str">
        <f t="shared" si="0"/>
        <v>EDT/s</v>
      </c>
      <c r="R18" s="127">
        <f t="shared" si="1"/>
        <v>0.030000000000000027</v>
      </c>
      <c r="S18" s="127">
        <f t="shared" si="1"/>
        <v>0</v>
      </c>
      <c r="T18" s="127">
        <f t="shared" si="1"/>
        <v>-0.020000000000000018</v>
      </c>
      <c r="U18" s="127">
        <f t="shared" si="1"/>
        <v>0</v>
      </c>
      <c r="V18" s="127">
        <f t="shared" si="1"/>
        <v>-0.010000000000000009</v>
      </c>
      <c r="W18" s="127">
        <f t="shared" si="1"/>
        <v>-0.010000000000000009</v>
      </c>
      <c r="Y18" s="130"/>
      <c r="Z18" s="131"/>
      <c r="AA18" s="125"/>
      <c r="AB18" s="125"/>
      <c r="AC18" s="125"/>
      <c r="AD18" s="125"/>
      <c r="AE18" s="129"/>
      <c r="AF18" s="125"/>
      <c r="AG18" s="130"/>
      <c r="AH18" s="131"/>
      <c r="AI18" s="125"/>
      <c r="AJ18" s="125"/>
      <c r="AK18" s="125"/>
      <c r="AL18" s="125"/>
      <c r="AM18" s="129"/>
      <c r="AN18" s="158"/>
      <c r="AP18" s="127"/>
      <c r="AQ18" s="127"/>
      <c r="AR18" s="127"/>
      <c r="AS18" s="127"/>
      <c r="AT18" s="127"/>
      <c r="AU18" s="127"/>
    </row>
    <row r="19" spans="1:47" ht="12.75">
      <c r="A19" s="130" t="s">
        <v>10</v>
      </c>
      <c r="B19" s="131">
        <v>62.7</v>
      </c>
      <c r="C19" s="125">
        <v>67.8</v>
      </c>
      <c r="D19" s="125">
        <v>59.6</v>
      </c>
      <c r="E19" s="125">
        <v>68.5</v>
      </c>
      <c r="F19" s="125">
        <v>63.2</v>
      </c>
      <c r="G19" s="129">
        <v>68.1</v>
      </c>
      <c r="H19" s="125"/>
      <c r="I19" s="130" t="s">
        <v>10</v>
      </c>
      <c r="J19" s="131">
        <v>63</v>
      </c>
      <c r="K19" s="125">
        <v>67.2</v>
      </c>
      <c r="L19" s="125">
        <v>59.3</v>
      </c>
      <c r="M19" s="125">
        <v>67.5</v>
      </c>
      <c r="N19" s="125">
        <v>63.3</v>
      </c>
      <c r="O19" s="129">
        <v>67.1</v>
      </c>
      <c r="P19" s="158"/>
      <c r="Q19" s="128" t="str">
        <f t="shared" si="0"/>
        <v>D/%</v>
      </c>
      <c r="R19" s="127">
        <f t="shared" si="1"/>
        <v>-0.29999999999999716</v>
      </c>
      <c r="S19" s="127">
        <f t="shared" si="1"/>
        <v>0.5999999999999943</v>
      </c>
      <c r="T19" s="127">
        <f t="shared" si="1"/>
        <v>0.30000000000000426</v>
      </c>
      <c r="U19" s="127">
        <f t="shared" si="1"/>
        <v>1</v>
      </c>
      <c r="V19" s="127">
        <f t="shared" si="1"/>
        <v>-0.09999999999999432</v>
      </c>
      <c r="W19" s="127">
        <f t="shared" si="1"/>
        <v>1</v>
      </c>
      <c r="Y19" s="130"/>
      <c r="Z19" s="131"/>
      <c r="AA19" s="125"/>
      <c r="AB19" s="125"/>
      <c r="AC19" s="125"/>
      <c r="AD19" s="125"/>
      <c r="AE19" s="129"/>
      <c r="AF19" s="125"/>
      <c r="AG19" s="130"/>
      <c r="AH19" s="131"/>
      <c r="AI19" s="125"/>
      <c r="AJ19" s="125"/>
      <c r="AK19" s="125"/>
      <c r="AL19" s="125"/>
      <c r="AM19" s="129"/>
      <c r="AN19" s="158"/>
      <c r="AP19" s="127"/>
      <c r="AQ19" s="127"/>
      <c r="AR19" s="127"/>
      <c r="AS19" s="127"/>
      <c r="AT19" s="127"/>
      <c r="AU19" s="127"/>
    </row>
    <row r="20" spans="1:47" ht="12.75">
      <c r="A20" s="130" t="s">
        <v>11</v>
      </c>
      <c r="B20" s="131">
        <v>5.3</v>
      </c>
      <c r="C20" s="125">
        <v>6.4</v>
      </c>
      <c r="D20" s="125">
        <v>5.2</v>
      </c>
      <c r="E20" s="125">
        <v>6.6</v>
      </c>
      <c r="F20" s="125">
        <v>5.5</v>
      </c>
      <c r="G20" s="129">
        <v>6.4</v>
      </c>
      <c r="H20" s="125"/>
      <c r="I20" s="130" t="s">
        <v>11</v>
      </c>
      <c r="J20" s="131">
        <v>5.6</v>
      </c>
      <c r="K20" s="125">
        <v>6.4</v>
      </c>
      <c r="L20" s="125">
        <v>5</v>
      </c>
      <c r="M20" s="125">
        <v>6.4</v>
      </c>
      <c r="N20" s="125">
        <v>5.5</v>
      </c>
      <c r="O20" s="129">
        <v>6.3</v>
      </c>
      <c r="P20" s="158"/>
      <c r="Q20" s="128" t="str">
        <f t="shared" si="0"/>
        <v>C/dB</v>
      </c>
      <c r="R20" s="127">
        <f t="shared" si="1"/>
        <v>-0.2999999999999998</v>
      </c>
      <c r="S20" s="127">
        <f t="shared" si="1"/>
        <v>0</v>
      </c>
      <c r="T20" s="127">
        <f t="shared" si="1"/>
        <v>0.20000000000000018</v>
      </c>
      <c r="U20" s="127">
        <f t="shared" si="1"/>
        <v>0.1999999999999993</v>
      </c>
      <c r="V20" s="127">
        <f t="shared" si="1"/>
        <v>0</v>
      </c>
      <c r="W20" s="127">
        <f t="shared" si="1"/>
        <v>0.10000000000000053</v>
      </c>
      <c r="Y20" s="130"/>
      <c r="Z20" s="131"/>
      <c r="AA20" s="125"/>
      <c r="AB20" s="125"/>
      <c r="AC20" s="125"/>
      <c r="AD20" s="125"/>
      <c r="AE20" s="129"/>
      <c r="AF20" s="125"/>
      <c r="AG20" s="130"/>
      <c r="AH20" s="131"/>
      <c r="AI20" s="125"/>
      <c r="AJ20" s="125"/>
      <c r="AK20" s="125"/>
      <c r="AL20" s="125"/>
      <c r="AM20" s="129"/>
      <c r="AN20" s="158"/>
      <c r="AP20" s="127"/>
      <c r="AQ20" s="127"/>
      <c r="AR20" s="127"/>
      <c r="AS20" s="127"/>
      <c r="AT20" s="127"/>
      <c r="AU20" s="127"/>
    </row>
    <row r="21" spans="1:47" ht="12.75">
      <c r="A21" s="130" t="s">
        <v>12</v>
      </c>
      <c r="B21" s="131">
        <v>51</v>
      </c>
      <c r="C21" s="125">
        <v>45.3</v>
      </c>
      <c r="D21" s="125">
        <v>54.1</v>
      </c>
      <c r="E21" s="125">
        <v>44.6</v>
      </c>
      <c r="F21" s="125">
        <v>50.7</v>
      </c>
      <c r="G21" s="129">
        <v>44.7</v>
      </c>
      <c r="H21" s="125"/>
      <c r="I21" s="130" t="s">
        <v>12</v>
      </c>
      <c r="J21" s="131">
        <v>51.6</v>
      </c>
      <c r="K21" s="125">
        <v>45.2</v>
      </c>
      <c r="L21" s="125">
        <v>54.9</v>
      </c>
      <c r="M21" s="125">
        <v>44.3</v>
      </c>
      <c r="N21" s="125">
        <v>50.8</v>
      </c>
      <c r="O21" s="129">
        <v>45.8</v>
      </c>
      <c r="P21" s="158"/>
      <c r="Q21" s="128" t="str">
        <f t="shared" si="0"/>
        <v>TS/ms</v>
      </c>
      <c r="R21" s="127">
        <f t="shared" si="1"/>
        <v>-0.6000000000000014</v>
      </c>
      <c r="S21" s="127">
        <f t="shared" si="1"/>
        <v>0.09999999999999432</v>
      </c>
      <c r="T21" s="127">
        <f t="shared" si="1"/>
        <v>-0.7999999999999972</v>
      </c>
      <c r="U21" s="127">
        <f t="shared" si="1"/>
        <v>0.30000000000000426</v>
      </c>
      <c r="V21" s="127">
        <f t="shared" si="1"/>
        <v>-0.09999999999999432</v>
      </c>
      <c r="W21" s="127">
        <f t="shared" si="1"/>
        <v>-1.0999999999999943</v>
      </c>
      <c r="Y21" s="130"/>
      <c r="Z21" s="131"/>
      <c r="AA21" s="125"/>
      <c r="AB21" s="125"/>
      <c r="AC21" s="125"/>
      <c r="AD21" s="125"/>
      <c r="AE21" s="129"/>
      <c r="AF21" s="125"/>
      <c r="AG21" s="130"/>
      <c r="AH21" s="131"/>
      <c r="AI21" s="125"/>
      <c r="AJ21" s="125"/>
      <c r="AK21" s="125"/>
      <c r="AL21" s="125"/>
      <c r="AM21" s="129"/>
      <c r="AN21" s="158"/>
      <c r="AP21" s="127"/>
      <c r="AQ21" s="127"/>
      <c r="AR21" s="127"/>
      <c r="AS21" s="127"/>
      <c r="AT21" s="127"/>
      <c r="AU21" s="127"/>
    </row>
    <row r="22" spans="1:47" ht="12.75">
      <c r="A22" s="130" t="s">
        <v>13</v>
      </c>
      <c r="B22" s="131">
        <v>17.9</v>
      </c>
      <c r="C22" s="125">
        <v>19.1</v>
      </c>
      <c r="D22" s="125">
        <v>17.6</v>
      </c>
      <c r="E22" s="125">
        <v>18.9</v>
      </c>
      <c r="F22" s="125">
        <v>18.2</v>
      </c>
      <c r="G22" s="129">
        <v>19.2</v>
      </c>
      <c r="H22" s="125"/>
      <c r="I22" s="130" t="s">
        <v>13</v>
      </c>
      <c r="J22" s="131">
        <v>18.2</v>
      </c>
      <c r="K22" s="125">
        <v>19</v>
      </c>
      <c r="L22" s="125">
        <v>17.6</v>
      </c>
      <c r="M22" s="125">
        <v>19.2</v>
      </c>
      <c r="N22" s="125">
        <v>18.3</v>
      </c>
      <c r="O22" s="129">
        <v>19.1</v>
      </c>
      <c r="P22" s="158"/>
      <c r="Q22" s="128" t="str">
        <f t="shared" si="0"/>
        <v>G/dB</v>
      </c>
      <c r="R22" s="127">
        <f t="shared" si="1"/>
        <v>-0.3000000000000007</v>
      </c>
      <c r="S22" s="127">
        <f t="shared" si="1"/>
        <v>0.10000000000000142</v>
      </c>
      <c r="T22" s="127">
        <f t="shared" si="1"/>
        <v>0</v>
      </c>
      <c r="U22" s="127">
        <f t="shared" si="1"/>
        <v>-0.3000000000000007</v>
      </c>
      <c r="V22" s="127">
        <f t="shared" si="1"/>
        <v>-0.10000000000000142</v>
      </c>
      <c r="W22" s="127">
        <f t="shared" si="1"/>
        <v>0.09999999999999787</v>
      </c>
      <c r="Y22" s="130"/>
      <c r="Z22" s="131"/>
      <c r="AA22" s="125"/>
      <c r="AB22" s="125"/>
      <c r="AC22" s="125"/>
      <c r="AD22" s="125"/>
      <c r="AE22" s="129"/>
      <c r="AF22" s="125"/>
      <c r="AG22" s="130"/>
      <c r="AH22" s="131"/>
      <c r="AI22" s="125"/>
      <c r="AJ22" s="125"/>
      <c r="AK22" s="125"/>
      <c r="AL22" s="125"/>
      <c r="AM22" s="129"/>
      <c r="AN22" s="158"/>
      <c r="AP22" s="127"/>
      <c r="AQ22" s="127"/>
      <c r="AR22" s="127"/>
      <c r="AS22" s="127"/>
      <c r="AT22" s="127"/>
      <c r="AU22" s="127"/>
    </row>
    <row r="23" spans="1:47" ht="12.75">
      <c r="A23" s="130" t="s">
        <v>14</v>
      </c>
      <c r="B23" s="131">
        <v>26.6</v>
      </c>
      <c r="C23" s="125">
        <v>20.5</v>
      </c>
      <c r="D23" s="125">
        <v>24.5</v>
      </c>
      <c r="E23" s="125">
        <v>22.1</v>
      </c>
      <c r="F23" s="125">
        <v>24.9</v>
      </c>
      <c r="G23" s="129">
        <v>23.1</v>
      </c>
      <c r="H23" s="125"/>
      <c r="I23" s="130" t="s">
        <v>14</v>
      </c>
      <c r="J23" s="131">
        <v>25.3</v>
      </c>
      <c r="K23" s="125">
        <v>22.7</v>
      </c>
      <c r="L23" s="125">
        <v>27.9</v>
      </c>
      <c r="M23" s="125">
        <v>23.6</v>
      </c>
      <c r="N23" s="125">
        <v>26.6</v>
      </c>
      <c r="O23" s="129">
        <v>22.4</v>
      </c>
      <c r="Q23" s="128" t="str">
        <f t="shared" si="0"/>
        <v>LF/%</v>
      </c>
      <c r="R23" s="127">
        <f t="shared" si="1"/>
        <v>1.3000000000000007</v>
      </c>
      <c r="S23" s="127">
        <f t="shared" si="1"/>
        <v>-2.1999999999999993</v>
      </c>
      <c r="T23" s="127">
        <f t="shared" si="1"/>
        <v>-3.3999999999999986</v>
      </c>
      <c r="U23" s="127">
        <f t="shared" si="1"/>
        <v>-1.5</v>
      </c>
      <c r="V23" s="127">
        <f t="shared" si="1"/>
        <v>-1.7000000000000028</v>
      </c>
      <c r="W23" s="127">
        <f t="shared" si="1"/>
        <v>0.7000000000000028</v>
      </c>
      <c r="Y23" s="130"/>
      <c r="Z23" s="131"/>
      <c r="AA23" s="125"/>
      <c r="AB23" s="125"/>
      <c r="AC23" s="125"/>
      <c r="AD23" s="125"/>
      <c r="AE23" s="129"/>
      <c r="AF23" s="125"/>
      <c r="AG23" s="130"/>
      <c r="AH23" s="131"/>
      <c r="AI23" s="125"/>
      <c r="AJ23" s="125"/>
      <c r="AK23" s="125"/>
      <c r="AL23" s="125"/>
      <c r="AM23" s="129"/>
      <c r="AP23" s="127"/>
      <c r="AQ23" s="127"/>
      <c r="AR23" s="127"/>
      <c r="AS23" s="127"/>
      <c r="AT23" s="127"/>
      <c r="AU23" s="127"/>
    </row>
    <row r="24" spans="1:47" ht="12.75">
      <c r="A24" s="130" t="s">
        <v>15</v>
      </c>
      <c r="B24" s="131">
        <v>37.9</v>
      </c>
      <c r="C24" s="125">
        <v>31.5</v>
      </c>
      <c r="D24" s="125">
        <v>38.2</v>
      </c>
      <c r="E24" s="125">
        <v>32.6</v>
      </c>
      <c r="F24" s="125">
        <v>37.6</v>
      </c>
      <c r="G24" s="129">
        <v>34.8</v>
      </c>
      <c r="H24" s="125"/>
      <c r="I24" s="130" t="s">
        <v>15</v>
      </c>
      <c r="J24" s="131">
        <v>37.2</v>
      </c>
      <c r="K24" s="125">
        <v>33.2</v>
      </c>
      <c r="L24" s="125">
        <v>41</v>
      </c>
      <c r="M24" s="125">
        <v>34.3</v>
      </c>
      <c r="N24" s="125">
        <v>39.2</v>
      </c>
      <c r="O24" s="129">
        <v>33.4</v>
      </c>
      <c r="Q24" s="128" t="str">
        <f t="shared" si="0"/>
        <v>LFC/%</v>
      </c>
      <c r="R24" s="127">
        <f t="shared" si="1"/>
        <v>0.6999999999999957</v>
      </c>
      <c r="S24" s="127">
        <f t="shared" si="1"/>
        <v>-1.7000000000000028</v>
      </c>
      <c r="T24" s="127">
        <f t="shared" si="1"/>
        <v>-2.799999999999997</v>
      </c>
      <c r="U24" s="127">
        <f t="shared" si="1"/>
        <v>-1.6999999999999957</v>
      </c>
      <c r="V24" s="127">
        <f t="shared" si="1"/>
        <v>-1.6000000000000014</v>
      </c>
      <c r="W24" s="127">
        <f t="shared" si="1"/>
        <v>1.3999999999999986</v>
      </c>
      <c r="Y24" s="130"/>
      <c r="Z24" s="131"/>
      <c r="AA24" s="125"/>
      <c r="AB24" s="125"/>
      <c r="AC24" s="125"/>
      <c r="AD24" s="125"/>
      <c r="AE24" s="129"/>
      <c r="AF24" s="125"/>
      <c r="AG24" s="130"/>
      <c r="AH24" s="131"/>
      <c r="AI24" s="125"/>
      <c r="AJ24" s="125"/>
      <c r="AK24" s="125"/>
      <c r="AL24" s="125"/>
      <c r="AM24" s="129"/>
      <c r="AP24" s="127"/>
      <c r="AQ24" s="127"/>
      <c r="AR24" s="127"/>
      <c r="AS24" s="127"/>
      <c r="AT24" s="127"/>
      <c r="AU24" s="127"/>
    </row>
    <row r="25" spans="1:47" ht="12.75">
      <c r="A25" s="134" t="s">
        <v>16</v>
      </c>
      <c r="B25" s="135">
        <v>0.99</v>
      </c>
      <c r="C25" s="132">
        <v>0.87</v>
      </c>
      <c r="D25" s="132">
        <v>0.93</v>
      </c>
      <c r="E25" s="132">
        <v>0.9</v>
      </c>
      <c r="F25" s="132">
        <v>0.96</v>
      </c>
      <c r="G25" s="133">
        <v>0.74</v>
      </c>
      <c r="H25" s="125"/>
      <c r="I25" s="134" t="s">
        <v>16</v>
      </c>
      <c r="J25" s="135">
        <v>0.99</v>
      </c>
      <c r="K25" s="132">
        <v>0.87</v>
      </c>
      <c r="L25" s="132">
        <v>0.94</v>
      </c>
      <c r="M25" s="132">
        <v>0.93</v>
      </c>
      <c r="N25" s="132">
        <v>0.96</v>
      </c>
      <c r="O25" s="133">
        <v>0.86</v>
      </c>
      <c r="Q25" s="128" t="str">
        <f t="shared" si="0"/>
        <v>IACC</v>
      </c>
      <c r="R25" s="127">
        <f t="shared" si="1"/>
        <v>0</v>
      </c>
      <c r="S25" s="127">
        <f t="shared" si="1"/>
        <v>0</v>
      </c>
      <c r="T25" s="127">
        <f t="shared" si="1"/>
        <v>-0.009999999999999898</v>
      </c>
      <c r="U25" s="127">
        <f t="shared" si="1"/>
        <v>-0.030000000000000027</v>
      </c>
      <c r="V25" s="127">
        <f t="shared" si="1"/>
        <v>0</v>
      </c>
      <c r="W25" s="127">
        <f t="shared" si="1"/>
        <v>-0.12</v>
      </c>
      <c r="Y25" s="134"/>
      <c r="Z25" s="135"/>
      <c r="AA25" s="132"/>
      <c r="AB25" s="132"/>
      <c r="AC25" s="132"/>
      <c r="AD25" s="132"/>
      <c r="AE25" s="133"/>
      <c r="AF25" s="125"/>
      <c r="AG25" s="134"/>
      <c r="AH25" s="135"/>
      <c r="AI25" s="132"/>
      <c r="AJ25" s="132"/>
      <c r="AK25" s="132"/>
      <c r="AL25" s="132"/>
      <c r="AM25" s="133"/>
      <c r="AP25" s="127"/>
      <c r="AQ25" s="127"/>
      <c r="AR25" s="127"/>
      <c r="AS25" s="127"/>
      <c r="AT25" s="127"/>
      <c r="AU25" s="127"/>
    </row>
    <row r="26" spans="5:39" ht="12.75">
      <c r="E26" s="136"/>
      <c r="F26" s="136"/>
      <c r="G26" s="136"/>
      <c r="H26" s="136"/>
      <c r="M26" s="136"/>
      <c r="N26" s="136"/>
      <c r="O26" s="136"/>
      <c r="AC26" s="136"/>
      <c r="AD26" s="136"/>
      <c r="AE26" s="136"/>
      <c r="AF26" s="136"/>
      <c r="AK26" s="136"/>
      <c r="AL26" s="136"/>
      <c r="AM26" s="136"/>
    </row>
    <row r="27" spans="1:39" ht="12.75">
      <c r="A27" s="155" t="s">
        <v>17</v>
      </c>
      <c r="B27" s="156" t="s">
        <v>1</v>
      </c>
      <c r="E27" s="136"/>
      <c r="F27" s="136"/>
      <c r="G27" s="136"/>
      <c r="H27" s="136"/>
      <c r="I27" s="155" t="s">
        <v>17</v>
      </c>
      <c r="J27" s="156" t="s">
        <v>1</v>
      </c>
      <c r="M27" s="136"/>
      <c r="N27" s="136"/>
      <c r="O27" s="136"/>
      <c r="Q27" s="128" t="str">
        <f>+A27</f>
        <v>250 Hz</v>
      </c>
      <c r="R27" s="128" t="str">
        <f>+B27</f>
        <v>octave</v>
      </c>
      <c r="Y27" s="155"/>
      <c r="Z27" s="156"/>
      <c r="AC27" s="136"/>
      <c r="AD27" s="136"/>
      <c r="AE27" s="136"/>
      <c r="AF27" s="136"/>
      <c r="AG27" s="155"/>
      <c r="AH27" s="156"/>
      <c r="AK27" s="136"/>
      <c r="AL27" s="136"/>
      <c r="AM27" s="136"/>
    </row>
    <row r="28" spans="1:39" ht="12.75">
      <c r="A28" s="142"/>
      <c r="B28" s="140" t="s">
        <v>2</v>
      </c>
      <c r="C28" s="140" t="s">
        <v>3</v>
      </c>
      <c r="D28" s="139" t="s">
        <v>4</v>
      </c>
      <c r="E28" s="139" t="s">
        <v>5</v>
      </c>
      <c r="F28" s="140" t="s">
        <v>6</v>
      </c>
      <c r="G28" s="139" t="s">
        <v>7</v>
      </c>
      <c r="H28" s="141"/>
      <c r="I28" s="142"/>
      <c r="J28" s="140" t="s">
        <v>2</v>
      </c>
      <c r="K28" s="140" t="s">
        <v>3</v>
      </c>
      <c r="L28" s="139" t="s">
        <v>4</v>
      </c>
      <c r="M28" s="139" t="s">
        <v>5</v>
      </c>
      <c r="N28" s="140" t="s">
        <v>6</v>
      </c>
      <c r="O28" s="139" t="s">
        <v>7</v>
      </c>
      <c r="Q28" s="128">
        <f>+A28</f>
        <v>0</v>
      </c>
      <c r="R28" s="128" t="str">
        <f>+B28</f>
        <v>S1R1</v>
      </c>
      <c r="S28" s="128" t="str">
        <f>+C28</f>
        <v>S1R2</v>
      </c>
      <c r="T28" s="128" t="str">
        <f>+D28</f>
        <v>S1R3</v>
      </c>
      <c r="U28" s="128" t="str">
        <f>+E28</f>
        <v>S2R1</v>
      </c>
      <c r="V28" s="128" t="str">
        <f>+F28</f>
        <v>S2R2</v>
      </c>
      <c r="W28" s="128" t="str">
        <f>+G28</f>
        <v>S2R3</v>
      </c>
      <c r="Y28" s="142"/>
      <c r="Z28" s="140"/>
      <c r="AA28" s="140"/>
      <c r="AB28" s="139"/>
      <c r="AC28" s="139"/>
      <c r="AD28" s="140"/>
      <c r="AE28" s="139"/>
      <c r="AF28" s="141"/>
      <c r="AG28" s="142"/>
      <c r="AH28" s="140"/>
      <c r="AI28" s="140"/>
      <c r="AJ28" s="139"/>
      <c r="AK28" s="139"/>
      <c r="AL28" s="140"/>
      <c r="AM28" s="139"/>
    </row>
    <row r="29" spans="1:47" ht="12.75">
      <c r="A29" s="130" t="s">
        <v>8</v>
      </c>
      <c r="B29" s="145">
        <v>1.03</v>
      </c>
      <c r="C29" s="143">
        <v>1.03</v>
      </c>
      <c r="D29" s="143">
        <v>1.04</v>
      </c>
      <c r="E29" s="125">
        <v>1.03</v>
      </c>
      <c r="F29" s="143">
        <v>1.04</v>
      </c>
      <c r="G29" s="144">
        <v>1.05</v>
      </c>
      <c r="H29" s="125"/>
      <c r="I29" s="130" t="s">
        <v>8</v>
      </c>
      <c r="J29" s="145">
        <v>0.85</v>
      </c>
      <c r="K29" s="143">
        <v>0.86</v>
      </c>
      <c r="L29" s="143">
        <v>0.87</v>
      </c>
      <c r="M29" s="125">
        <v>0.85</v>
      </c>
      <c r="N29" s="143">
        <v>0.86</v>
      </c>
      <c r="O29" s="144">
        <v>0.87</v>
      </c>
      <c r="Q29" s="128" t="str">
        <f aca="true" t="shared" si="2" ref="Q29:Q37">+A29</f>
        <v>T30/s</v>
      </c>
      <c r="R29" s="127">
        <f aca="true" t="shared" si="3" ref="R29:W37">+B29-J29</f>
        <v>0.18000000000000005</v>
      </c>
      <c r="S29" s="127">
        <f t="shared" si="3"/>
        <v>0.17000000000000004</v>
      </c>
      <c r="T29" s="127">
        <f t="shared" si="3"/>
        <v>0.17000000000000004</v>
      </c>
      <c r="U29" s="127">
        <f t="shared" si="3"/>
        <v>0.18000000000000005</v>
      </c>
      <c r="V29" s="127">
        <f t="shared" si="3"/>
        <v>0.18000000000000005</v>
      </c>
      <c r="W29" s="127">
        <f t="shared" si="3"/>
        <v>0.18000000000000005</v>
      </c>
      <c r="Y29" s="130"/>
      <c r="Z29" s="145"/>
      <c r="AA29" s="143"/>
      <c r="AB29" s="143"/>
      <c r="AC29" s="125"/>
      <c r="AD29" s="143"/>
      <c r="AE29" s="144"/>
      <c r="AF29" s="125"/>
      <c r="AG29" s="130"/>
      <c r="AH29" s="145"/>
      <c r="AI29" s="143"/>
      <c r="AJ29" s="143"/>
      <c r="AK29" s="125"/>
      <c r="AL29" s="143"/>
      <c r="AM29" s="144"/>
      <c r="AP29" s="127"/>
      <c r="AQ29" s="127"/>
      <c r="AR29" s="127"/>
      <c r="AS29" s="127"/>
      <c r="AT29" s="127"/>
      <c r="AU29" s="127"/>
    </row>
    <row r="30" spans="1:47" ht="12.75">
      <c r="A30" s="130" t="s">
        <v>9</v>
      </c>
      <c r="B30" s="131">
        <v>1.05</v>
      </c>
      <c r="C30" s="125">
        <v>1.01</v>
      </c>
      <c r="D30" s="125">
        <v>1.04</v>
      </c>
      <c r="E30" s="125">
        <v>1</v>
      </c>
      <c r="F30" s="125">
        <v>1.03</v>
      </c>
      <c r="G30" s="129">
        <v>0.99</v>
      </c>
      <c r="H30" s="125"/>
      <c r="I30" s="130" t="s">
        <v>9</v>
      </c>
      <c r="J30" s="131">
        <v>0.86</v>
      </c>
      <c r="K30" s="125">
        <v>0.84</v>
      </c>
      <c r="L30" s="125">
        <v>0.85</v>
      </c>
      <c r="M30" s="125">
        <v>0.88</v>
      </c>
      <c r="N30" s="125">
        <v>0.89</v>
      </c>
      <c r="O30" s="129">
        <v>0.83</v>
      </c>
      <c r="Q30" s="128" t="str">
        <f t="shared" si="2"/>
        <v>EDT/s</v>
      </c>
      <c r="R30" s="127">
        <f t="shared" si="3"/>
        <v>0.19000000000000006</v>
      </c>
      <c r="S30" s="127">
        <f t="shared" si="3"/>
        <v>0.17000000000000004</v>
      </c>
      <c r="T30" s="127">
        <f t="shared" si="3"/>
        <v>0.19000000000000006</v>
      </c>
      <c r="U30" s="127">
        <f t="shared" si="3"/>
        <v>0.12</v>
      </c>
      <c r="V30" s="127">
        <f t="shared" si="3"/>
        <v>0.14</v>
      </c>
      <c r="W30" s="127">
        <f t="shared" si="3"/>
        <v>0.16000000000000003</v>
      </c>
      <c r="Y30" s="130"/>
      <c r="Z30" s="131"/>
      <c r="AA30" s="125"/>
      <c r="AB30" s="125"/>
      <c r="AC30" s="125"/>
      <c r="AD30" s="125"/>
      <c r="AE30" s="129"/>
      <c r="AF30" s="125"/>
      <c r="AG30" s="130"/>
      <c r="AH30" s="131"/>
      <c r="AI30" s="125"/>
      <c r="AJ30" s="125"/>
      <c r="AK30" s="125"/>
      <c r="AL30" s="125"/>
      <c r="AM30" s="129"/>
      <c r="AP30" s="127"/>
      <c r="AQ30" s="127"/>
      <c r="AR30" s="127"/>
      <c r="AS30" s="127"/>
      <c r="AT30" s="127"/>
      <c r="AU30" s="127"/>
    </row>
    <row r="31" spans="1:47" ht="12.75">
      <c r="A31" s="130" t="s">
        <v>10</v>
      </c>
      <c r="B31" s="131">
        <v>52.2</v>
      </c>
      <c r="C31" s="125">
        <v>57.6</v>
      </c>
      <c r="D31" s="125">
        <v>50.8</v>
      </c>
      <c r="E31" s="125">
        <v>59.8</v>
      </c>
      <c r="F31" s="125">
        <v>51.7</v>
      </c>
      <c r="G31" s="129">
        <v>57.8</v>
      </c>
      <c r="H31" s="125"/>
      <c r="I31" s="130" t="s">
        <v>10</v>
      </c>
      <c r="J31" s="131">
        <v>56.8</v>
      </c>
      <c r="K31" s="125">
        <v>63.5</v>
      </c>
      <c r="L31" s="125">
        <v>57.9</v>
      </c>
      <c r="M31" s="125">
        <v>62.1</v>
      </c>
      <c r="N31" s="125">
        <v>55.9</v>
      </c>
      <c r="O31" s="129">
        <v>63.2</v>
      </c>
      <c r="Q31" s="128" t="str">
        <f t="shared" si="2"/>
        <v>D/%</v>
      </c>
      <c r="R31" s="127">
        <f t="shared" si="3"/>
        <v>-4.599999999999994</v>
      </c>
      <c r="S31" s="127">
        <f t="shared" si="3"/>
        <v>-5.899999999999999</v>
      </c>
      <c r="T31" s="127">
        <f t="shared" si="3"/>
        <v>-7.100000000000001</v>
      </c>
      <c r="U31" s="127">
        <f t="shared" si="3"/>
        <v>-2.3000000000000043</v>
      </c>
      <c r="V31" s="127">
        <f t="shared" si="3"/>
        <v>-4.199999999999996</v>
      </c>
      <c r="W31" s="127">
        <f t="shared" si="3"/>
        <v>-5.400000000000006</v>
      </c>
      <c r="Y31" s="130"/>
      <c r="Z31" s="131"/>
      <c r="AA31" s="125"/>
      <c r="AB31" s="125"/>
      <c r="AC31" s="125"/>
      <c r="AD31" s="125"/>
      <c r="AE31" s="129"/>
      <c r="AF31" s="125"/>
      <c r="AG31" s="130"/>
      <c r="AH31" s="131"/>
      <c r="AI31" s="125"/>
      <c r="AJ31" s="125"/>
      <c r="AK31" s="125"/>
      <c r="AL31" s="125"/>
      <c r="AM31" s="129"/>
      <c r="AP31" s="127"/>
      <c r="AQ31" s="127"/>
      <c r="AR31" s="127"/>
      <c r="AS31" s="127"/>
      <c r="AT31" s="127"/>
      <c r="AU31" s="127"/>
    </row>
    <row r="32" spans="1:47" ht="12.75">
      <c r="A32" s="130" t="s">
        <v>11</v>
      </c>
      <c r="B32" s="131">
        <v>3.1</v>
      </c>
      <c r="C32" s="125">
        <v>4.2</v>
      </c>
      <c r="D32" s="125">
        <v>3</v>
      </c>
      <c r="E32" s="125">
        <v>4.3</v>
      </c>
      <c r="F32" s="125">
        <v>3.2</v>
      </c>
      <c r="G32" s="129">
        <v>4.2</v>
      </c>
      <c r="H32" s="125"/>
      <c r="I32" s="130" t="s">
        <v>11</v>
      </c>
      <c r="J32" s="131">
        <v>4.7</v>
      </c>
      <c r="K32" s="125">
        <v>5.6</v>
      </c>
      <c r="L32" s="125">
        <v>4.5</v>
      </c>
      <c r="M32" s="125">
        <v>5</v>
      </c>
      <c r="N32" s="125">
        <v>4.1</v>
      </c>
      <c r="O32" s="129">
        <v>5.5</v>
      </c>
      <c r="Q32" s="128" t="str">
        <f t="shared" si="2"/>
        <v>C/dB</v>
      </c>
      <c r="R32" s="127">
        <f t="shared" si="3"/>
        <v>-1.6</v>
      </c>
      <c r="S32" s="127">
        <f t="shared" si="3"/>
        <v>-1.3999999999999995</v>
      </c>
      <c r="T32" s="127">
        <f t="shared" si="3"/>
        <v>-1.5</v>
      </c>
      <c r="U32" s="127">
        <f t="shared" si="3"/>
        <v>-0.7000000000000002</v>
      </c>
      <c r="V32" s="127">
        <f t="shared" si="3"/>
        <v>-0.8999999999999995</v>
      </c>
      <c r="W32" s="127">
        <f t="shared" si="3"/>
        <v>-1.2999999999999998</v>
      </c>
      <c r="Y32" s="130"/>
      <c r="Z32" s="131"/>
      <c r="AA32" s="125"/>
      <c r="AB32" s="125"/>
      <c r="AC32" s="125"/>
      <c r="AD32" s="125"/>
      <c r="AE32" s="129"/>
      <c r="AF32" s="125"/>
      <c r="AG32" s="130"/>
      <c r="AH32" s="131"/>
      <c r="AI32" s="125"/>
      <c r="AJ32" s="125"/>
      <c r="AK32" s="125"/>
      <c r="AL32" s="125"/>
      <c r="AM32" s="129"/>
      <c r="AP32" s="127"/>
      <c r="AQ32" s="127"/>
      <c r="AR32" s="127"/>
      <c r="AS32" s="127"/>
      <c r="AT32" s="127"/>
      <c r="AU32" s="127"/>
    </row>
    <row r="33" spans="1:47" ht="12.75">
      <c r="A33" s="130" t="s">
        <v>12</v>
      </c>
      <c r="B33" s="131">
        <v>70.8</v>
      </c>
      <c r="C33" s="125">
        <v>62.6</v>
      </c>
      <c r="D33" s="125">
        <v>72.1</v>
      </c>
      <c r="E33" s="125">
        <v>61</v>
      </c>
      <c r="F33" s="125">
        <v>70.9</v>
      </c>
      <c r="G33" s="129">
        <v>62.4</v>
      </c>
      <c r="H33" s="125"/>
      <c r="I33" s="130" t="s">
        <v>12</v>
      </c>
      <c r="J33" s="131">
        <v>57.7</v>
      </c>
      <c r="K33" s="125">
        <v>50.9</v>
      </c>
      <c r="L33" s="125">
        <v>59.4</v>
      </c>
      <c r="M33" s="125">
        <v>52.7</v>
      </c>
      <c r="N33" s="125">
        <v>60.8</v>
      </c>
      <c r="O33" s="129">
        <v>51.5</v>
      </c>
      <c r="Q33" s="128" t="str">
        <f t="shared" si="2"/>
        <v>TS/ms</v>
      </c>
      <c r="R33" s="127">
        <f t="shared" si="3"/>
        <v>13.099999999999994</v>
      </c>
      <c r="S33" s="127">
        <f t="shared" si="3"/>
        <v>11.700000000000003</v>
      </c>
      <c r="T33" s="127">
        <f t="shared" si="3"/>
        <v>12.699999999999996</v>
      </c>
      <c r="U33" s="127">
        <f t="shared" si="3"/>
        <v>8.299999999999997</v>
      </c>
      <c r="V33" s="127">
        <f t="shared" si="3"/>
        <v>10.100000000000009</v>
      </c>
      <c r="W33" s="127">
        <f t="shared" si="3"/>
        <v>10.899999999999999</v>
      </c>
      <c r="Y33" s="130"/>
      <c r="Z33" s="131"/>
      <c r="AA33" s="125"/>
      <c r="AB33" s="125"/>
      <c r="AC33" s="125"/>
      <c r="AD33" s="125"/>
      <c r="AE33" s="129"/>
      <c r="AF33" s="125"/>
      <c r="AG33" s="130"/>
      <c r="AH33" s="131"/>
      <c r="AI33" s="125"/>
      <c r="AJ33" s="125"/>
      <c r="AK33" s="125"/>
      <c r="AL33" s="125"/>
      <c r="AM33" s="129"/>
      <c r="AP33" s="127"/>
      <c r="AQ33" s="127"/>
      <c r="AR33" s="127"/>
      <c r="AS33" s="127"/>
      <c r="AT33" s="127"/>
      <c r="AU33" s="127"/>
    </row>
    <row r="34" spans="1:47" ht="12.75">
      <c r="A34" s="130" t="s">
        <v>13</v>
      </c>
      <c r="B34" s="131">
        <v>19</v>
      </c>
      <c r="C34" s="125">
        <v>20.1</v>
      </c>
      <c r="D34" s="125">
        <v>19</v>
      </c>
      <c r="E34" s="125">
        <v>20.2</v>
      </c>
      <c r="F34" s="125">
        <v>19.3</v>
      </c>
      <c r="G34" s="129">
        <v>20.3</v>
      </c>
      <c r="H34" s="125"/>
      <c r="I34" s="130" t="s">
        <v>13</v>
      </c>
      <c r="J34" s="131">
        <v>18.3</v>
      </c>
      <c r="K34" s="125">
        <v>19.4</v>
      </c>
      <c r="L34" s="125">
        <v>18.5</v>
      </c>
      <c r="M34" s="125">
        <v>19.2</v>
      </c>
      <c r="N34" s="125">
        <v>18.5</v>
      </c>
      <c r="O34" s="129">
        <v>19.8</v>
      </c>
      <c r="Q34" s="128" t="str">
        <f t="shared" si="2"/>
        <v>G/dB</v>
      </c>
      <c r="R34" s="127">
        <f t="shared" si="3"/>
        <v>0.6999999999999993</v>
      </c>
      <c r="S34" s="127">
        <f t="shared" si="3"/>
        <v>0.7000000000000028</v>
      </c>
      <c r="T34" s="127">
        <f t="shared" si="3"/>
        <v>0.5</v>
      </c>
      <c r="U34" s="127">
        <f t="shared" si="3"/>
        <v>1</v>
      </c>
      <c r="V34" s="127">
        <f t="shared" si="3"/>
        <v>0.8000000000000007</v>
      </c>
      <c r="W34" s="127">
        <f t="shared" si="3"/>
        <v>0.5</v>
      </c>
      <c r="Y34" s="130"/>
      <c r="Z34" s="131"/>
      <c r="AA34" s="125"/>
      <c r="AB34" s="125"/>
      <c r="AC34" s="125"/>
      <c r="AD34" s="125"/>
      <c r="AE34" s="129"/>
      <c r="AF34" s="125"/>
      <c r="AG34" s="130"/>
      <c r="AH34" s="131"/>
      <c r="AI34" s="125"/>
      <c r="AJ34" s="125"/>
      <c r="AK34" s="125"/>
      <c r="AL34" s="125"/>
      <c r="AM34" s="129"/>
      <c r="AP34" s="127"/>
      <c r="AQ34" s="127"/>
      <c r="AR34" s="127"/>
      <c r="AS34" s="127"/>
      <c r="AT34" s="127"/>
      <c r="AU34" s="127"/>
    </row>
    <row r="35" spans="1:47" ht="12.75">
      <c r="A35" s="130" t="s">
        <v>14</v>
      </c>
      <c r="B35" s="131">
        <v>28.3</v>
      </c>
      <c r="C35" s="125">
        <v>24.5</v>
      </c>
      <c r="D35" s="125">
        <v>27</v>
      </c>
      <c r="E35" s="125">
        <v>24.5</v>
      </c>
      <c r="F35" s="125">
        <v>27.8</v>
      </c>
      <c r="G35" s="129">
        <v>26.7</v>
      </c>
      <c r="H35" s="125"/>
      <c r="I35" s="130" t="s">
        <v>14</v>
      </c>
      <c r="J35" s="131">
        <v>26.8</v>
      </c>
      <c r="K35" s="125">
        <v>22.7</v>
      </c>
      <c r="L35" s="125">
        <v>26.9</v>
      </c>
      <c r="M35" s="125">
        <v>20.4</v>
      </c>
      <c r="N35" s="125">
        <v>23.5</v>
      </c>
      <c r="O35" s="129">
        <v>26.1</v>
      </c>
      <c r="Q35" s="128" t="str">
        <f t="shared" si="2"/>
        <v>LF/%</v>
      </c>
      <c r="R35" s="127">
        <f t="shared" si="3"/>
        <v>1.5</v>
      </c>
      <c r="S35" s="127">
        <f t="shared" si="3"/>
        <v>1.8000000000000007</v>
      </c>
      <c r="T35" s="127">
        <f t="shared" si="3"/>
        <v>0.10000000000000142</v>
      </c>
      <c r="U35" s="127">
        <f t="shared" si="3"/>
        <v>4.100000000000001</v>
      </c>
      <c r="V35" s="127">
        <f t="shared" si="3"/>
        <v>4.300000000000001</v>
      </c>
      <c r="W35" s="127">
        <f t="shared" si="3"/>
        <v>0.5999999999999979</v>
      </c>
      <c r="Y35" s="130"/>
      <c r="Z35" s="131"/>
      <c r="AA35" s="125"/>
      <c r="AB35" s="125"/>
      <c r="AC35" s="125"/>
      <c r="AD35" s="125"/>
      <c r="AE35" s="129"/>
      <c r="AF35" s="125"/>
      <c r="AG35" s="130"/>
      <c r="AH35" s="131"/>
      <c r="AI35" s="125"/>
      <c r="AJ35" s="125"/>
      <c r="AK35" s="125"/>
      <c r="AL35" s="125"/>
      <c r="AM35" s="129"/>
      <c r="AP35" s="127"/>
      <c r="AQ35" s="127"/>
      <c r="AR35" s="127"/>
      <c r="AS35" s="127"/>
      <c r="AT35" s="127"/>
      <c r="AU35" s="127"/>
    </row>
    <row r="36" spans="1:47" ht="12.75">
      <c r="A36" s="130" t="s">
        <v>15</v>
      </c>
      <c r="B36" s="131">
        <v>40.5</v>
      </c>
      <c r="C36" s="125">
        <v>35.9</v>
      </c>
      <c r="D36" s="125">
        <v>41.2</v>
      </c>
      <c r="E36" s="125">
        <v>35.2</v>
      </c>
      <c r="F36" s="125">
        <v>40.5</v>
      </c>
      <c r="G36" s="129">
        <v>38.7</v>
      </c>
      <c r="H36" s="125"/>
      <c r="I36" s="130" t="s">
        <v>15</v>
      </c>
      <c r="J36" s="131">
        <v>38.6</v>
      </c>
      <c r="K36" s="125">
        <v>33.7</v>
      </c>
      <c r="L36" s="125">
        <v>41.1</v>
      </c>
      <c r="M36" s="125">
        <v>30.8</v>
      </c>
      <c r="N36" s="125">
        <v>36.2</v>
      </c>
      <c r="O36" s="129">
        <v>37.8</v>
      </c>
      <c r="Q36" s="128" t="str">
        <f t="shared" si="2"/>
        <v>LFC/%</v>
      </c>
      <c r="R36" s="127">
        <f t="shared" si="3"/>
        <v>1.8999999999999986</v>
      </c>
      <c r="S36" s="127">
        <f t="shared" si="3"/>
        <v>2.1999999999999957</v>
      </c>
      <c r="T36" s="127">
        <f t="shared" si="3"/>
        <v>0.10000000000000142</v>
      </c>
      <c r="U36" s="127">
        <f t="shared" si="3"/>
        <v>4.400000000000002</v>
      </c>
      <c r="V36" s="127">
        <f t="shared" si="3"/>
        <v>4.299999999999997</v>
      </c>
      <c r="W36" s="127">
        <f t="shared" si="3"/>
        <v>0.9000000000000057</v>
      </c>
      <c r="Y36" s="130"/>
      <c r="Z36" s="131"/>
      <c r="AA36" s="125"/>
      <c r="AB36" s="125"/>
      <c r="AC36" s="125"/>
      <c r="AD36" s="125"/>
      <c r="AE36" s="129"/>
      <c r="AF36" s="125"/>
      <c r="AG36" s="130"/>
      <c r="AH36" s="131"/>
      <c r="AI36" s="125"/>
      <c r="AJ36" s="125"/>
      <c r="AK36" s="125"/>
      <c r="AL36" s="125"/>
      <c r="AM36" s="129"/>
      <c r="AP36" s="127"/>
      <c r="AQ36" s="127"/>
      <c r="AR36" s="127"/>
      <c r="AS36" s="127"/>
      <c r="AT36" s="127"/>
      <c r="AU36" s="127"/>
    </row>
    <row r="37" spans="1:47" ht="12.75">
      <c r="A37" s="134" t="s">
        <v>16</v>
      </c>
      <c r="B37" s="135">
        <v>0.83</v>
      </c>
      <c r="C37" s="132">
        <v>0.57</v>
      </c>
      <c r="D37" s="132">
        <v>0.84</v>
      </c>
      <c r="E37" s="132">
        <v>0.8</v>
      </c>
      <c r="F37" s="132">
        <v>0.75</v>
      </c>
      <c r="G37" s="133">
        <v>0.74</v>
      </c>
      <c r="H37" s="125"/>
      <c r="I37" s="134" t="s">
        <v>16</v>
      </c>
      <c r="J37" s="135">
        <v>0.9</v>
      </c>
      <c r="K37" s="132">
        <v>0.77</v>
      </c>
      <c r="L37" s="132">
        <v>0.84</v>
      </c>
      <c r="M37" s="132">
        <v>0.79</v>
      </c>
      <c r="N37" s="132">
        <v>0.72</v>
      </c>
      <c r="O37" s="133">
        <v>0.87</v>
      </c>
      <c r="Q37" s="128" t="str">
        <f t="shared" si="2"/>
        <v>IACC</v>
      </c>
      <c r="R37" s="127">
        <f t="shared" si="3"/>
        <v>-0.07000000000000006</v>
      </c>
      <c r="S37" s="127">
        <f t="shared" si="3"/>
        <v>-0.20000000000000007</v>
      </c>
      <c r="T37" s="127">
        <f t="shared" si="3"/>
        <v>0</v>
      </c>
      <c r="U37" s="127">
        <f t="shared" si="3"/>
        <v>0.010000000000000009</v>
      </c>
      <c r="V37" s="127">
        <f t="shared" si="3"/>
        <v>0.030000000000000027</v>
      </c>
      <c r="W37" s="127">
        <f t="shared" si="3"/>
        <v>-0.13</v>
      </c>
      <c r="Y37" s="134"/>
      <c r="Z37" s="135"/>
      <c r="AA37" s="132"/>
      <c r="AB37" s="132"/>
      <c r="AC37" s="132"/>
      <c r="AD37" s="132"/>
      <c r="AE37" s="133"/>
      <c r="AF37" s="125"/>
      <c r="AG37" s="134"/>
      <c r="AH37" s="135"/>
      <c r="AI37" s="132"/>
      <c r="AJ37" s="132"/>
      <c r="AK37" s="132"/>
      <c r="AL37" s="132"/>
      <c r="AM37" s="133"/>
      <c r="AP37" s="127"/>
      <c r="AQ37" s="127"/>
      <c r="AR37" s="127"/>
      <c r="AS37" s="127"/>
      <c r="AT37" s="127"/>
      <c r="AU37" s="127"/>
    </row>
    <row r="38" spans="5:39" ht="12.75">
      <c r="E38" s="136"/>
      <c r="F38" s="136"/>
      <c r="G38" s="136"/>
      <c r="H38" s="136"/>
      <c r="M38" s="136"/>
      <c r="N38" s="136"/>
      <c r="O38" s="136"/>
      <c r="AC38" s="136"/>
      <c r="AD38" s="136"/>
      <c r="AE38" s="136"/>
      <c r="AF38" s="136"/>
      <c r="AK38" s="136"/>
      <c r="AL38" s="136"/>
      <c r="AM38" s="136"/>
    </row>
    <row r="39" spans="1:39" ht="12.75">
      <c r="A39" s="155" t="s">
        <v>18</v>
      </c>
      <c r="B39" s="156" t="s">
        <v>1</v>
      </c>
      <c r="E39" s="136"/>
      <c r="F39" s="136"/>
      <c r="G39" s="136"/>
      <c r="H39" s="136"/>
      <c r="I39" s="155" t="s">
        <v>18</v>
      </c>
      <c r="J39" s="156" t="s">
        <v>1</v>
      </c>
      <c r="M39" s="136"/>
      <c r="N39" s="136"/>
      <c r="O39" s="136"/>
      <c r="Q39" s="128" t="str">
        <f>+A39</f>
        <v>500 Hz</v>
      </c>
      <c r="R39" s="128" t="str">
        <f>+B39</f>
        <v>octave</v>
      </c>
      <c r="Y39" s="155"/>
      <c r="Z39" s="156"/>
      <c r="AC39" s="136"/>
      <c r="AD39" s="136"/>
      <c r="AE39" s="136"/>
      <c r="AF39" s="136"/>
      <c r="AG39" s="155"/>
      <c r="AH39" s="156"/>
      <c r="AK39" s="136"/>
      <c r="AL39" s="136"/>
      <c r="AM39" s="136"/>
    </row>
    <row r="40" spans="1:39" ht="12.75">
      <c r="A40" s="142"/>
      <c r="B40" s="140" t="s">
        <v>2</v>
      </c>
      <c r="C40" s="140" t="s">
        <v>3</v>
      </c>
      <c r="D40" s="139" t="s">
        <v>4</v>
      </c>
      <c r="E40" s="139" t="s">
        <v>5</v>
      </c>
      <c r="F40" s="140" t="s">
        <v>6</v>
      </c>
      <c r="G40" s="139" t="s">
        <v>7</v>
      </c>
      <c r="H40" s="141"/>
      <c r="I40" s="142"/>
      <c r="J40" s="140" t="s">
        <v>2</v>
      </c>
      <c r="K40" s="140" t="s">
        <v>3</v>
      </c>
      <c r="L40" s="139" t="s">
        <v>4</v>
      </c>
      <c r="M40" s="139" t="s">
        <v>5</v>
      </c>
      <c r="N40" s="140" t="s">
        <v>6</v>
      </c>
      <c r="O40" s="139" t="s">
        <v>7</v>
      </c>
      <c r="Q40" s="128">
        <f>+A40</f>
        <v>0</v>
      </c>
      <c r="R40" s="128" t="str">
        <f>+B40</f>
        <v>S1R1</v>
      </c>
      <c r="S40" s="128" t="str">
        <f>+C40</f>
        <v>S1R2</v>
      </c>
      <c r="T40" s="128" t="str">
        <f>+D40</f>
        <v>S1R3</v>
      </c>
      <c r="U40" s="128" t="str">
        <f>+E40</f>
        <v>S2R1</v>
      </c>
      <c r="V40" s="128" t="str">
        <f>+F40</f>
        <v>S2R2</v>
      </c>
      <c r="W40" s="128" t="str">
        <f>+G40</f>
        <v>S2R3</v>
      </c>
      <c r="Y40" s="142"/>
      <c r="Z40" s="140"/>
      <c r="AA40" s="140"/>
      <c r="AB40" s="139"/>
      <c r="AC40" s="139"/>
      <c r="AD40" s="140"/>
      <c r="AE40" s="139"/>
      <c r="AF40" s="141"/>
      <c r="AG40" s="142"/>
      <c r="AH40" s="140"/>
      <c r="AI40" s="140"/>
      <c r="AJ40" s="139"/>
      <c r="AK40" s="139"/>
      <c r="AL40" s="140"/>
      <c r="AM40" s="139"/>
    </row>
    <row r="41" spans="1:47" ht="12.75">
      <c r="A41" s="130" t="s">
        <v>8</v>
      </c>
      <c r="B41" s="145">
        <v>1.04</v>
      </c>
      <c r="C41" s="143">
        <v>1.05</v>
      </c>
      <c r="D41" s="143">
        <v>1.05</v>
      </c>
      <c r="E41" s="125">
        <v>1.04</v>
      </c>
      <c r="F41" s="143">
        <v>1.04</v>
      </c>
      <c r="G41" s="144">
        <v>1.06</v>
      </c>
      <c r="H41" s="125"/>
      <c r="I41" s="130" t="s">
        <v>8</v>
      </c>
      <c r="J41" s="145">
        <v>0.84</v>
      </c>
      <c r="K41" s="143">
        <v>0.85</v>
      </c>
      <c r="L41" s="143">
        <v>0.86</v>
      </c>
      <c r="M41" s="125">
        <v>0.84</v>
      </c>
      <c r="N41" s="143">
        <v>0.86</v>
      </c>
      <c r="O41" s="144">
        <v>0.86</v>
      </c>
      <c r="Q41" s="128" t="str">
        <f aca="true" t="shared" si="4" ref="Q41:Q49">+A41</f>
        <v>T30/s</v>
      </c>
      <c r="R41" s="127">
        <f aca="true" t="shared" si="5" ref="R41:W49">+B41-J41</f>
        <v>0.20000000000000007</v>
      </c>
      <c r="S41" s="127">
        <f t="shared" si="5"/>
        <v>0.20000000000000007</v>
      </c>
      <c r="T41" s="127">
        <f t="shared" si="5"/>
        <v>0.19000000000000006</v>
      </c>
      <c r="U41" s="127">
        <f t="shared" si="5"/>
        <v>0.20000000000000007</v>
      </c>
      <c r="V41" s="127">
        <f t="shared" si="5"/>
        <v>0.18000000000000005</v>
      </c>
      <c r="W41" s="127">
        <f t="shared" si="5"/>
        <v>0.20000000000000007</v>
      </c>
      <c r="Y41" s="130"/>
      <c r="Z41" s="145"/>
      <c r="AA41" s="143"/>
      <c r="AB41" s="143"/>
      <c r="AC41" s="125"/>
      <c r="AD41" s="143"/>
      <c r="AE41" s="144"/>
      <c r="AF41" s="125"/>
      <c r="AG41" s="130"/>
      <c r="AH41" s="145"/>
      <c r="AI41" s="143"/>
      <c r="AJ41" s="143"/>
      <c r="AK41" s="125"/>
      <c r="AL41" s="143"/>
      <c r="AM41" s="144"/>
      <c r="AP41" s="127"/>
      <c r="AQ41" s="127"/>
      <c r="AR41" s="127"/>
      <c r="AS41" s="127"/>
      <c r="AT41" s="127"/>
      <c r="AU41" s="127"/>
    </row>
    <row r="42" spans="1:47" ht="12.75">
      <c r="A42" s="130" t="s">
        <v>9</v>
      </c>
      <c r="B42" s="131">
        <v>1.06</v>
      </c>
      <c r="C42" s="125">
        <v>1.01</v>
      </c>
      <c r="D42" s="125">
        <v>1.05</v>
      </c>
      <c r="E42" s="125">
        <v>1.01</v>
      </c>
      <c r="F42" s="125">
        <v>1.03</v>
      </c>
      <c r="G42" s="129">
        <v>1.04</v>
      </c>
      <c r="H42" s="125"/>
      <c r="I42" s="130" t="s">
        <v>9</v>
      </c>
      <c r="J42" s="131">
        <v>0.85</v>
      </c>
      <c r="K42" s="125">
        <v>0.84</v>
      </c>
      <c r="L42" s="125">
        <v>0.86</v>
      </c>
      <c r="M42" s="125">
        <v>0.85</v>
      </c>
      <c r="N42" s="125">
        <v>0.84</v>
      </c>
      <c r="O42" s="129">
        <v>0.86</v>
      </c>
      <c r="Q42" s="128" t="str">
        <f t="shared" si="4"/>
        <v>EDT/s</v>
      </c>
      <c r="R42" s="127">
        <f t="shared" si="5"/>
        <v>0.21000000000000008</v>
      </c>
      <c r="S42" s="127">
        <f t="shared" si="5"/>
        <v>0.17000000000000004</v>
      </c>
      <c r="T42" s="127">
        <f t="shared" si="5"/>
        <v>0.19000000000000006</v>
      </c>
      <c r="U42" s="127">
        <f t="shared" si="5"/>
        <v>0.16000000000000003</v>
      </c>
      <c r="V42" s="127">
        <f t="shared" si="5"/>
        <v>0.19000000000000006</v>
      </c>
      <c r="W42" s="127">
        <f t="shared" si="5"/>
        <v>0.18000000000000005</v>
      </c>
      <c r="Y42" s="130"/>
      <c r="Z42" s="131"/>
      <c r="AA42" s="125"/>
      <c r="AB42" s="125"/>
      <c r="AC42" s="125"/>
      <c r="AD42" s="125"/>
      <c r="AE42" s="129"/>
      <c r="AF42" s="125"/>
      <c r="AG42" s="130"/>
      <c r="AH42" s="131"/>
      <c r="AI42" s="125"/>
      <c r="AJ42" s="125"/>
      <c r="AK42" s="125"/>
      <c r="AL42" s="125"/>
      <c r="AM42" s="129"/>
      <c r="AP42" s="127"/>
      <c r="AQ42" s="127"/>
      <c r="AR42" s="127"/>
      <c r="AS42" s="127"/>
      <c r="AT42" s="127"/>
      <c r="AU42" s="127"/>
    </row>
    <row r="43" spans="1:47" ht="12.75">
      <c r="A43" s="130" t="s">
        <v>10</v>
      </c>
      <c r="B43" s="131">
        <v>51</v>
      </c>
      <c r="C43" s="125">
        <v>56.6</v>
      </c>
      <c r="D43" s="125">
        <v>49.4</v>
      </c>
      <c r="E43" s="125">
        <v>58.1</v>
      </c>
      <c r="F43" s="125">
        <v>51.2</v>
      </c>
      <c r="G43" s="129">
        <v>57.6</v>
      </c>
      <c r="H43" s="125"/>
      <c r="I43" s="130" t="s">
        <v>10</v>
      </c>
      <c r="J43" s="131">
        <v>58.4</v>
      </c>
      <c r="K43" s="125">
        <v>64.1</v>
      </c>
      <c r="L43" s="125">
        <v>56.1</v>
      </c>
      <c r="M43" s="125">
        <v>63.3</v>
      </c>
      <c r="N43" s="125">
        <v>58.5</v>
      </c>
      <c r="O43" s="129">
        <v>63.6</v>
      </c>
      <c r="Q43" s="128" t="str">
        <f t="shared" si="4"/>
        <v>D/%</v>
      </c>
      <c r="R43" s="127">
        <f t="shared" si="5"/>
        <v>-7.399999999999999</v>
      </c>
      <c r="S43" s="127">
        <f t="shared" si="5"/>
        <v>-7.499999999999993</v>
      </c>
      <c r="T43" s="127">
        <f t="shared" si="5"/>
        <v>-6.700000000000003</v>
      </c>
      <c r="U43" s="127">
        <f t="shared" si="5"/>
        <v>-5.199999999999996</v>
      </c>
      <c r="V43" s="127">
        <f t="shared" si="5"/>
        <v>-7.299999999999997</v>
      </c>
      <c r="W43" s="127">
        <f t="shared" si="5"/>
        <v>-6</v>
      </c>
      <c r="Y43" s="130"/>
      <c r="Z43" s="131"/>
      <c r="AA43" s="125"/>
      <c r="AB43" s="125"/>
      <c r="AC43" s="125"/>
      <c r="AD43" s="125"/>
      <c r="AE43" s="129"/>
      <c r="AF43" s="125"/>
      <c r="AG43" s="130"/>
      <c r="AH43" s="131"/>
      <c r="AI43" s="125"/>
      <c r="AJ43" s="125"/>
      <c r="AK43" s="125"/>
      <c r="AL43" s="125"/>
      <c r="AM43" s="129"/>
      <c r="AP43" s="127"/>
      <c r="AQ43" s="127"/>
      <c r="AR43" s="127"/>
      <c r="AS43" s="127"/>
      <c r="AT43" s="127"/>
      <c r="AU43" s="127"/>
    </row>
    <row r="44" spans="1:47" ht="12.75">
      <c r="A44" s="130" t="s">
        <v>11</v>
      </c>
      <c r="B44" s="131">
        <v>3.1</v>
      </c>
      <c r="C44" s="125">
        <v>4</v>
      </c>
      <c r="D44" s="125">
        <v>2.9</v>
      </c>
      <c r="E44" s="125">
        <v>4.1</v>
      </c>
      <c r="F44" s="125">
        <v>3.2</v>
      </c>
      <c r="G44" s="129">
        <v>3.9</v>
      </c>
      <c r="H44" s="125"/>
      <c r="I44" s="130" t="s">
        <v>11</v>
      </c>
      <c r="J44" s="131">
        <v>4.6</v>
      </c>
      <c r="K44" s="125">
        <v>5.4</v>
      </c>
      <c r="L44" s="125">
        <v>4.4</v>
      </c>
      <c r="M44" s="125">
        <v>5.3</v>
      </c>
      <c r="N44" s="125">
        <v>4.7</v>
      </c>
      <c r="O44" s="129">
        <v>5.3</v>
      </c>
      <c r="Q44" s="128" t="str">
        <f t="shared" si="4"/>
        <v>C/dB</v>
      </c>
      <c r="R44" s="127">
        <f t="shared" si="5"/>
        <v>-1.4999999999999996</v>
      </c>
      <c r="S44" s="127">
        <f t="shared" si="5"/>
        <v>-1.4000000000000004</v>
      </c>
      <c r="T44" s="127">
        <f t="shared" si="5"/>
        <v>-1.5000000000000004</v>
      </c>
      <c r="U44" s="127">
        <f t="shared" si="5"/>
        <v>-1.2000000000000002</v>
      </c>
      <c r="V44" s="127">
        <f t="shared" si="5"/>
        <v>-1.5</v>
      </c>
      <c r="W44" s="127">
        <f t="shared" si="5"/>
        <v>-1.4</v>
      </c>
      <c r="Y44" s="130"/>
      <c r="Z44" s="131"/>
      <c r="AA44" s="125"/>
      <c r="AB44" s="125"/>
      <c r="AC44" s="125"/>
      <c r="AD44" s="125"/>
      <c r="AE44" s="129"/>
      <c r="AF44" s="125"/>
      <c r="AG44" s="130"/>
      <c r="AH44" s="131"/>
      <c r="AI44" s="125"/>
      <c r="AJ44" s="125"/>
      <c r="AK44" s="125"/>
      <c r="AL44" s="125"/>
      <c r="AM44" s="129"/>
      <c r="AP44" s="127"/>
      <c r="AQ44" s="127"/>
      <c r="AR44" s="127"/>
      <c r="AS44" s="127"/>
      <c r="AT44" s="127"/>
      <c r="AU44" s="127"/>
    </row>
    <row r="45" spans="1:47" ht="12.75">
      <c r="A45" s="130" t="s">
        <v>12</v>
      </c>
      <c r="B45" s="131">
        <v>71.3</v>
      </c>
      <c r="C45" s="125">
        <v>63.5</v>
      </c>
      <c r="D45" s="125">
        <v>73.4</v>
      </c>
      <c r="E45" s="125">
        <v>62</v>
      </c>
      <c r="F45" s="125">
        <v>71.3</v>
      </c>
      <c r="G45" s="129">
        <v>63.4</v>
      </c>
      <c r="H45" s="125"/>
      <c r="I45" s="130" t="s">
        <v>12</v>
      </c>
      <c r="J45" s="131">
        <v>58</v>
      </c>
      <c r="K45" s="125">
        <v>51.5</v>
      </c>
      <c r="L45" s="125">
        <v>59.5</v>
      </c>
      <c r="M45" s="125">
        <v>51.1</v>
      </c>
      <c r="N45" s="125">
        <v>58.2</v>
      </c>
      <c r="O45" s="129">
        <v>51.8</v>
      </c>
      <c r="Q45" s="128" t="str">
        <f t="shared" si="4"/>
        <v>TS/ms</v>
      </c>
      <c r="R45" s="127">
        <f t="shared" si="5"/>
        <v>13.299999999999997</v>
      </c>
      <c r="S45" s="127">
        <f t="shared" si="5"/>
        <v>12</v>
      </c>
      <c r="T45" s="127">
        <f t="shared" si="5"/>
        <v>13.900000000000006</v>
      </c>
      <c r="U45" s="127">
        <f t="shared" si="5"/>
        <v>10.899999999999999</v>
      </c>
      <c r="V45" s="127">
        <f t="shared" si="5"/>
        <v>13.099999999999994</v>
      </c>
      <c r="W45" s="127">
        <f t="shared" si="5"/>
        <v>11.600000000000001</v>
      </c>
      <c r="Y45" s="130"/>
      <c r="Z45" s="131"/>
      <c r="AA45" s="125"/>
      <c r="AB45" s="125"/>
      <c r="AC45" s="125"/>
      <c r="AD45" s="125"/>
      <c r="AE45" s="129"/>
      <c r="AF45" s="125"/>
      <c r="AG45" s="130"/>
      <c r="AH45" s="131"/>
      <c r="AI45" s="125"/>
      <c r="AJ45" s="125"/>
      <c r="AK45" s="125"/>
      <c r="AL45" s="125"/>
      <c r="AM45" s="129"/>
      <c r="AP45" s="127"/>
      <c r="AQ45" s="127"/>
      <c r="AR45" s="127"/>
      <c r="AS45" s="127"/>
      <c r="AT45" s="127"/>
      <c r="AU45" s="127"/>
    </row>
    <row r="46" spans="1:47" ht="12.75">
      <c r="A46" s="130" t="s">
        <v>13</v>
      </c>
      <c r="B46" s="131">
        <v>19</v>
      </c>
      <c r="C46" s="125">
        <v>20.2</v>
      </c>
      <c r="D46" s="125">
        <v>18.9</v>
      </c>
      <c r="E46" s="125">
        <v>19.9</v>
      </c>
      <c r="F46" s="125">
        <v>19.4</v>
      </c>
      <c r="G46" s="129">
        <v>20</v>
      </c>
      <c r="H46" s="125"/>
      <c r="I46" s="130" t="s">
        <v>13</v>
      </c>
      <c r="J46" s="131">
        <v>18.2</v>
      </c>
      <c r="K46" s="125">
        <v>19.4</v>
      </c>
      <c r="L46" s="125">
        <v>18.3</v>
      </c>
      <c r="M46" s="125">
        <v>19.2</v>
      </c>
      <c r="N46" s="125">
        <v>18.7</v>
      </c>
      <c r="O46" s="129">
        <v>19.5</v>
      </c>
      <c r="Q46" s="128" t="str">
        <f t="shared" si="4"/>
        <v>G/dB</v>
      </c>
      <c r="R46" s="127">
        <f t="shared" si="5"/>
        <v>0.8000000000000007</v>
      </c>
      <c r="S46" s="127">
        <f t="shared" si="5"/>
        <v>0.8000000000000007</v>
      </c>
      <c r="T46" s="127">
        <f t="shared" si="5"/>
        <v>0.5999999999999979</v>
      </c>
      <c r="U46" s="127">
        <f t="shared" si="5"/>
        <v>0.6999999999999993</v>
      </c>
      <c r="V46" s="127">
        <f t="shared" si="5"/>
        <v>0.6999999999999993</v>
      </c>
      <c r="W46" s="127">
        <f t="shared" si="5"/>
        <v>0.5</v>
      </c>
      <c r="Y46" s="130"/>
      <c r="Z46" s="131"/>
      <c r="AA46" s="125"/>
      <c r="AB46" s="125"/>
      <c r="AC46" s="125"/>
      <c r="AD46" s="125"/>
      <c r="AE46" s="129"/>
      <c r="AF46" s="125"/>
      <c r="AG46" s="130"/>
      <c r="AH46" s="131"/>
      <c r="AI46" s="125"/>
      <c r="AJ46" s="125"/>
      <c r="AK46" s="125"/>
      <c r="AL46" s="125"/>
      <c r="AM46" s="129"/>
      <c r="AP46" s="127"/>
      <c r="AQ46" s="127"/>
      <c r="AR46" s="127"/>
      <c r="AS46" s="127"/>
      <c r="AT46" s="127"/>
      <c r="AU46" s="127"/>
    </row>
    <row r="47" spans="1:47" ht="12.75">
      <c r="A47" s="130" t="s">
        <v>14</v>
      </c>
      <c r="B47" s="131">
        <v>26.4</v>
      </c>
      <c r="C47" s="125">
        <v>25.3</v>
      </c>
      <c r="D47" s="125">
        <v>26.8</v>
      </c>
      <c r="E47" s="125">
        <v>24.1</v>
      </c>
      <c r="F47" s="125">
        <v>28.5</v>
      </c>
      <c r="G47" s="129">
        <v>27.1</v>
      </c>
      <c r="H47" s="125"/>
      <c r="I47" s="130" t="s">
        <v>14</v>
      </c>
      <c r="J47" s="131">
        <v>24.7</v>
      </c>
      <c r="K47" s="125">
        <v>23</v>
      </c>
      <c r="L47" s="125">
        <v>26.7</v>
      </c>
      <c r="M47" s="125">
        <v>22.7</v>
      </c>
      <c r="N47" s="125">
        <v>25.2</v>
      </c>
      <c r="O47" s="129">
        <v>25.2</v>
      </c>
      <c r="Q47" s="128" t="str">
        <f t="shared" si="4"/>
        <v>LF/%</v>
      </c>
      <c r="R47" s="127">
        <f t="shared" si="5"/>
        <v>1.6999999999999993</v>
      </c>
      <c r="S47" s="127">
        <f t="shared" si="5"/>
        <v>2.3000000000000007</v>
      </c>
      <c r="T47" s="127">
        <f t="shared" si="5"/>
        <v>0.10000000000000142</v>
      </c>
      <c r="U47" s="127">
        <f t="shared" si="5"/>
        <v>1.4000000000000021</v>
      </c>
      <c r="V47" s="127">
        <f t="shared" si="5"/>
        <v>3.3000000000000007</v>
      </c>
      <c r="W47" s="127">
        <f t="shared" si="5"/>
        <v>1.9000000000000021</v>
      </c>
      <c r="Y47" s="130"/>
      <c r="Z47" s="131"/>
      <c r="AA47" s="125"/>
      <c r="AB47" s="125"/>
      <c r="AC47" s="125"/>
      <c r="AD47" s="125"/>
      <c r="AE47" s="129"/>
      <c r="AF47" s="125"/>
      <c r="AG47" s="130"/>
      <c r="AH47" s="131"/>
      <c r="AI47" s="125"/>
      <c r="AJ47" s="125"/>
      <c r="AK47" s="125"/>
      <c r="AL47" s="125"/>
      <c r="AM47" s="129"/>
      <c r="AP47" s="127"/>
      <c r="AQ47" s="127"/>
      <c r="AR47" s="127"/>
      <c r="AS47" s="127"/>
      <c r="AT47" s="127"/>
      <c r="AU47" s="127"/>
    </row>
    <row r="48" spans="1:47" ht="12.75">
      <c r="A48" s="130" t="s">
        <v>15</v>
      </c>
      <c r="B48" s="131">
        <v>38</v>
      </c>
      <c r="C48" s="125">
        <v>36.4</v>
      </c>
      <c r="D48" s="125">
        <v>40.8</v>
      </c>
      <c r="E48" s="125">
        <v>34.8</v>
      </c>
      <c r="F48" s="125">
        <v>41.6</v>
      </c>
      <c r="G48" s="129">
        <v>38.4</v>
      </c>
      <c r="H48" s="125"/>
      <c r="I48" s="130" t="s">
        <v>15</v>
      </c>
      <c r="J48" s="131">
        <v>36.8</v>
      </c>
      <c r="K48" s="125">
        <v>34</v>
      </c>
      <c r="L48" s="125">
        <v>41.1</v>
      </c>
      <c r="M48" s="125">
        <v>32.7</v>
      </c>
      <c r="N48" s="125">
        <v>37.8</v>
      </c>
      <c r="O48" s="129">
        <v>36.4</v>
      </c>
      <c r="Q48" s="128" t="str">
        <f t="shared" si="4"/>
        <v>LFC/%</v>
      </c>
      <c r="R48" s="127">
        <f t="shared" si="5"/>
        <v>1.2000000000000028</v>
      </c>
      <c r="S48" s="127">
        <f t="shared" si="5"/>
        <v>2.3999999999999986</v>
      </c>
      <c r="T48" s="127">
        <f t="shared" si="5"/>
        <v>-0.30000000000000426</v>
      </c>
      <c r="U48" s="127">
        <f t="shared" si="5"/>
        <v>2.0999999999999943</v>
      </c>
      <c r="V48" s="127">
        <f t="shared" si="5"/>
        <v>3.8000000000000043</v>
      </c>
      <c r="W48" s="127">
        <f t="shared" si="5"/>
        <v>2</v>
      </c>
      <c r="Y48" s="130"/>
      <c r="Z48" s="131"/>
      <c r="AA48" s="125"/>
      <c r="AB48" s="125"/>
      <c r="AC48" s="125"/>
      <c r="AD48" s="125"/>
      <c r="AE48" s="129"/>
      <c r="AF48" s="125"/>
      <c r="AG48" s="130"/>
      <c r="AH48" s="131"/>
      <c r="AI48" s="125"/>
      <c r="AJ48" s="125"/>
      <c r="AK48" s="125"/>
      <c r="AL48" s="125"/>
      <c r="AM48" s="129"/>
      <c r="AP48" s="127"/>
      <c r="AQ48" s="127"/>
      <c r="AR48" s="127"/>
      <c r="AS48" s="127"/>
      <c r="AT48" s="127"/>
      <c r="AU48" s="127"/>
    </row>
    <row r="49" spans="1:47" ht="12.75">
      <c r="A49" s="134" t="s">
        <v>16</v>
      </c>
      <c r="B49" s="135">
        <v>0.46</v>
      </c>
      <c r="C49" s="132">
        <v>0.23</v>
      </c>
      <c r="D49" s="132">
        <v>0.33</v>
      </c>
      <c r="E49" s="132">
        <v>0.27</v>
      </c>
      <c r="F49" s="132">
        <v>0.37</v>
      </c>
      <c r="G49" s="133">
        <v>0.4</v>
      </c>
      <c r="H49" s="125"/>
      <c r="I49" s="134" t="s">
        <v>16</v>
      </c>
      <c r="J49" s="135">
        <v>0.74</v>
      </c>
      <c r="K49" s="132">
        <v>0.2</v>
      </c>
      <c r="L49" s="132">
        <v>0.45</v>
      </c>
      <c r="M49" s="132">
        <v>0.36</v>
      </c>
      <c r="N49" s="132">
        <v>0.33</v>
      </c>
      <c r="O49" s="133">
        <v>0.46</v>
      </c>
      <c r="Q49" s="128" t="str">
        <f t="shared" si="4"/>
        <v>IACC</v>
      </c>
      <c r="R49" s="127">
        <f t="shared" si="5"/>
        <v>-0.27999999999999997</v>
      </c>
      <c r="S49" s="127">
        <f t="shared" si="5"/>
        <v>0.03</v>
      </c>
      <c r="T49" s="127">
        <f t="shared" si="5"/>
        <v>-0.12</v>
      </c>
      <c r="U49" s="127">
        <f t="shared" si="5"/>
        <v>-0.08999999999999997</v>
      </c>
      <c r="V49" s="127">
        <f t="shared" si="5"/>
        <v>0.03999999999999998</v>
      </c>
      <c r="W49" s="127">
        <f t="shared" si="5"/>
        <v>-0.06</v>
      </c>
      <c r="Y49" s="134"/>
      <c r="Z49" s="135"/>
      <c r="AA49" s="132"/>
      <c r="AB49" s="132"/>
      <c r="AC49" s="132"/>
      <c r="AD49" s="132"/>
      <c r="AE49" s="133"/>
      <c r="AF49" s="125"/>
      <c r="AG49" s="134"/>
      <c r="AH49" s="135"/>
      <c r="AI49" s="132"/>
      <c r="AJ49" s="132"/>
      <c r="AK49" s="132"/>
      <c r="AL49" s="132"/>
      <c r="AM49" s="133"/>
      <c r="AP49" s="127"/>
      <c r="AQ49" s="127"/>
      <c r="AR49" s="127"/>
      <c r="AS49" s="127"/>
      <c r="AT49" s="127"/>
      <c r="AU49" s="127"/>
    </row>
    <row r="50" spans="5:47" ht="12.75">
      <c r="E50" s="136"/>
      <c r="F50" s="136"/>
      <c r="G50" s="136"/>
      <c r="H50" s="136"/>
      <c r="M50" s="136"/>
      <c r="N50" s="136"/>
      <c r="O50" s="136"/>
      <c r="R50" s="127"/>
      <c r="S50" s="127"/>
      <c r="T50" s="127"/>
      <c r="U50" s="127"/>
      <c r="V50" s="127"/>
      <c r="W50" s="127"/>
      <c r="AC50" s="136"/>
      <c r="AD50" s="136"/>
      <c r="AE50" s="136"/>
      <c r="AF50" s="136"/>
      <c r="AK50" s="136"/>
      <c r="AL50" s="136"/>
      <c r="AM50" s="136"/>
      <c r="AP50" s="127"/>
      <c r="AQ50" s="127"/>
      <c r="AR50" s="127"/>
      <c r="AS50" s="127"/>
      <c r="AT50" s="127"/>
      <c r="AU50" s="127"/>
    </row>
    <row r="51" spans="1:39" ht="12.75">
      <c r="A51" s="155" t="s">
        <v>19</v>
      </c>
      <c r="B51" s="156" t="s">
        <v>1</v>
      </c>
      <c r="E51" s="136"/>
      <c r="F51" s="136"/>
      <c r="G51" s="136"/>
      <c r="H51" s="136"/>
      <c r="I51" s="155" t="s">
        <v>19</v>
      </c>
      <c r="J51" s="156" t="s">
        <v>1</v>
      </c>
      <c r="M51" s="136"/>
      <c r="N51" s="136"/>
      <c r="O51" s="136"/>
      <c r="Q51" s="128" t="str">
        <f>+A51</f>
        <v>1000 Hz</v>
      </c>
      <c r="R51" s="128" t="str">
        <f>+B51</f>
        <v>octave</v>
      </c>
      <c r="Y51" s="155"/>
      <c r="Z51" s="156"/>
      <c r="AC51" s="136"/>
      <c r="AD51" s="136"/>
      <c r="AE51" s="136"/>
      <c r="AF51" s="136"/>
      <c r="AG51" s="155"/>
      <c r="AH51" s="156"/>
      <c r="AK51" s="136"/>
      <c r="AL51" s="136"/>
      <c r="AM51" s="136"/>
    </row>
    <row r="52" spans="1:39" ht="12.75">
      <c r="A52" s="142"/>
      <c r="B52" s="140" t="s">
        <v>2</v>
      </c>
      <c r="C52" s="140" t="s">
        <v>3</v>
      </c>
      <c r="D52" s="139" t="s">
        <v>4</v>
      </c>
      <c r="E52" s="139" t="s">
        <v>5</v>
      </c>
      <c r="F52" s="140" t="s">
        <v>6</v>
      </c>
      <c r="G52" s="139" t="s">
        <v>7</v>
      </c>
      <c r="H52" s="141"/>
      <c r="I52" s="142"/>
      <c r="J52" s="140" t="s">
        <v>2</v>
      </c>
      <c r="K52" s="140" t="s">
        <v>3</v>
      </c>
      <c r="L52" s="139" t="s">
        <v>4</v>
      </c>
      <c r="M52" s="139" t="s">
        <v>5</v>
      </c>
      <c r="N52" s="140" t="s">
        <v>6</v>
      </c>
      <c r="O52" s="139" t="s">
        <v>7</v>
      </c>
      <c r="Q52" s="128">
        <f>+A52</f>
        <v>0</v>
      </c>
      <c r="R52" s="128" t="str">
        <f>+B52</f>
        <v>S1R1</v>
      </c>
      <c r="S52" s="128" t="str">
        <f>+C52</f>
        <v>S1R2</v>
      </c>
      <c r="T52" s="128" t="str">
        <f>+D52</f>
        <v>S1R3</v>
      </c>
      <c r="U52" s="128" t="str">
        <f>+E52</f>
        <v>S2R1</v>
      </c>
      <c r="V52" s="128" t="str">
        <f>+F52</f>
        <v>S2R2</v>
      </c>
      <c r="W52" s="128" t="str">
        <f>+G52</f>
        <v>S2R3</v>
      </c>
      <c r="Y52" s="142"/>
      <c r="Z52" s="140"/>
      <c r="AA52" s="140"/>
      <c r="AB52" s="139"/>
      <c r="AC52" s="139"/>
      <c r="AD52" s="140"/>
      <c r="AE52" s="139"/>
      <c r="AF52" s="141"/>
      <c r="AG52" s="142"/>
      <c r="AH52" s="140"/>
      <c r="AI52" s="140"/>
      <c r="AJ52" s="139"/>
      <c r="AK52" s="139"/>
      <c r="AL52" s="140"/>
      <c r="AM52" s="139"/>
    </row>
    <row r="53" spans="1:47" ht="12.75">
      <c r="A53" s="130" t="s">
        <v>8</v>
      </c>
      <c r="B53" s="145">
        <v>0.94</v>
      </c>
      <c r="C53" s="143">
        <v>0.93</v>
      </c>
      <c r="D53" s="143">
        <v>0.95</v>
      </c>
      <c r="E53" s="125">
        <v>0.94</v>
      </c>
      <c r="F53" s="143">
        <v>0.93</v>
      </c>
      <c r="G53" s="144">
        <v>0.94</v>
      </c>
      <c r="H53" s="125"/>
      <c r="I53" s="130" t="s">
        <v>8</v>
      </c>
      <c r="J53" s="145">
        <v>0.74</v>
      </c>
      <c r="K53" s="143">
        <v>0.75</v>
      </c>
      <c r="L53" s="143">
        <v>0.76</v>
      </c>
      <c r="M53" s="125">
        <v>0.74</v>
      </c>
      <c r="N53" s="143">
        <v>0.74</v>
      </c>
      <c r="O53" s="144">
        <v>0.75</v>
      </c>
      <c r="Q53" s="128" t="str">
        <f aca="true" t="shared" si="6" ref="Q53:Q61">+A53</f>
        <v>T30/s</v>
      </c>
      <c r="R53" s="127">
        <f aca="true" t="shared" si="7" ref="R53:W61">+B53-J53</f>
        <v>0.19999999999999996</v>
      </c>
      <c r="S53" s="127">
        <f t="shared" si="7"/>
        <v>0.18000000000000005</v>
      </c>
      <c r="T53" s="127">
        <f t="shared" si="7"/>
        <v>0.18999999999999995</v>
      </c>
      <c r="U53" s="127">
        <f t="shared" si="7"/>
        <v>0.19999999999999996</v>
      </c>
      <c r="V53" s="127">
        <f t="shared" si="7"/>
        <v>0.19000000000000006</v>
      </c>
      <c r="W53" s="127">
        <f t="shared" si="7"/>
        <v>0.18999999999999995</v>
      </c>
      <c r="Y53" s="130"/>
      <c r="Z53" s="145"/>
      <c r="AA53" s="143"/>
      <c r="AB53" s="143"/>
      <c r="AC53" s="125"/>
      <c r="AD53" s="143"/>
      <c r="AE53" s="144"/>
      <c r="AF53" s="125"/>
      <c r="AG53" s="130"/>
      <c r="AH53" s="145"/>
      <c r="AI53" s="143"/>
      <c r="AJ53" s="143"/>
      <c r="AK53" s="125"/>
      <c r="AL53" s="143"/>
      <c r="AM53" s="144"/>
      <c r="AP53" s="127"/>
      <c r="AQ53" s="127"/>
      <c r="AR53" s="127"/>
      <c r="AS53" s="127"/>
      <c r="AT53" s="127"/>
      <c r="AU53" s="127"/>
    </row>
    <row r="54" spans="1:47" ht="12.75">
      <c r="A54" s="130" t="s">
        <v>9</v>
      </c>
      <c r="B54" s="131">
        <v>0.94</v>
      </c>
      <c r="C54" s="125">
        <v>0.96</v>
      </c>
      <c r="D54" s="125">
        <v>0.94</v>
      </c>
      <c r="E54" s="125">
        <v>0.9</v>
      </c>
      <c r="F54" s="125">
        <v>0.95</v>
      </c>
      <c r="G54" s="129">
        <v>0.91</v>
      </c>
      <c r="H54" s="125"/>
      <c r="I54" s="130" t="s">
        <v>9</v>
      </c>
      <c r="J54" s="131">
        <v>0.76</v>
      </c>
      <c r="K54" s="125">
        <v>0.75</v>
      </c>
      <c r="L54" s="125">
        <v>0.72</v>
      </c>
      <c r="M54" s="125">
        <v>0.76</v>
      </c>
      <c r="N54" s="125">
        <v>0.75</v>
      </c>
      <c r="O54" s="129">
        <v>0.75</v>
      </c>
      <c r="Q54" s="128" t="str">
        <f t="shared" si="6"/>
        <v>EDT/s</v>
      </c>
      <c r="R54" s="127">
        <f t="shared" si="7"/>
        <v>0.17999999999999994</v>
      </c>
      <c r="S54" s="127">
        <f t="shared" si="7"/>
        <v>0.20999999999999996</v>
      </c>
      <c r="T54" s="127">
        <f t="shared" si="7"/>
        <v>0.21999999999999997</v>
      </c>
      <c r="U54" s="127">
        <f t="shared" si="7"/>
        <v>0.14</v>
      </c>
      <c r="V54" s="127">
        <f t="shared" si="7"/>
        <v>0.19999999999999996</v>
      </c>
      <c r="W54" s="127">
        <f t="shared" si="7"/>
        <v>0.16000000000000003</v>
      </c>
      <c r="Y54" s="130"/>
      <c r="Z54" s="131"/>
      <c r="AA54" s="125"/>
      <c r="AB54" s="125"/>
      <c r="AC54" s="125"/>
      <c r="AD54" s="125"/>
      <c r="AE54" s="129"/>
      <c r="AF54" s="125"/>
      <c r="AG54" s="130"/>
      <c r="AH54" s="131"/>
      <c r="AI54" s="125"/>
      <c r="AJ54" s="125"/>
      <c r="AK54" s="125"/>
      <c r="AL54" s="125"/>
      <c r="AM54" s="129"/>
      <c r="AP54" s="127"/>
      <c r="AQ54" s="127"/>
      <c r="AR54" s="127"/>
      <c r="AS54" s="127"/>
      <c r="AT54" s="127"/>
      <c r="AU54" s="127"/>
    </row>
    <row r="55" spans="1:47" ht="12.75">
      <c r="A55" s="130" t="s">
        <v>10</v>
      </c>
      <c r="B55" s="131">
        <v>56.8</v>
      </c>
      <c r="C55" s="125">
        <v>58.8</v>
      </c>
      <c r="D55" s="125">
        <v>55.4</v>
      </c>
      <c r="E55" s="125">
        <v>62.4</v>
      </c>
      <c r="F55" s="125">
        <v>53.9</v>
      </c>
      <c r="G55" s="129">
        <v>62.1</v>
      </c>
      <c r="H55" s="125"/>
      <c r="I55" s="130" t="s">
        <v>10</v>
      </c>
      <c r="J55" s="131">
        <v>62</v>
      </c>
      <c r="K55" s="125">
        <v>68.4</v>
      </c>
      <c r="L55" s="125">
        <v>65.2</v>
      </c>
      <c r="M55" s="125">
        <v>67.2</v>
      </c>
      <c r="N55" s="125">
        <v>65.14</v>
      </c>
      <c r="O55" s="129">
        <v>68.2</v>
      </c>
      <c r="Q55" s="128" t="str">
        <f t="shared" si="6"/>
        <v>D/%</v>
      </c>
      <c r="R55" s="127">
        <f t="shared" si="7"/>
        <v>-5.200000000000003</v>
      </c>
      <c r="S55" s="127">
        <f t="shared" si="7"/>
        <v>-9.600000000000009</v>
      </c>
      <c r="T55" s="127">
        <f t="shared" si="7"/>
        <v>-9.800000000000004</v>
      </c>
      <c r="U55" s="127">
        <f t="shared" si="7"/>
        <v>-4.800000000000004</v>
      </c>
      <c r="V55" s="127">
        <f t="shared" si="7"/>
        <v>-11.240000000000002</v>
      </c>
      <c r="W55" s="127">
        <f t="shared" si="7"/>
        <v>-6.100000000000001</v>
      </c>
      <c r="Y55" s="130"/>
      <c r="Z55" s="131"/>
      <c r="AA55" s="125"/>
      <c r="AB55" s="125"/>
      <c r="AC55" s="125"/>
      <c r="AD55" s="125"/>
      <c r="AE55" s="129"/>
      <c r="AF55" s="125"/>
      <c r="AG55" s="130"/>
      <c r="AH55" s="131"/>
      <c r="AI55" s="125"/>
      <c r="AJ55" s="125"/>
      <c r="AK55" s="125"/>
      <c r="AL55" s="125"/>
      <c r="AM55" s="129"/>
      <c r="AP55" s="127"/>
      <c r="AQ55" s="127"/>
      <c r="AR55" s="127"/>
      <c r="AS55" s="127"/>
      <c r="AT55" s="127"/>
      <c r="AU55" s="127"/>
    </row>
    <row r="56" spans="1:47" ht="12.75">
      <c r="A56" s="130" t="s">
        <v>11</v>
      </c>
      <c r="B56" s="131">
        <v>3.9</v>
      </c>
      <c r="C56" s="125">
        <v>4.5</v>
      </c>
      <c r="D56" s="125">
        <v>3.8</v>
      </c>
      <c r="E56" s="125">
        <v>5</v>
      </c>
      <c r="F56" s="125">
        <v>3.7</v>
      </c>
      <c r="G56" s="129">
        <v>4.9</v>
      </c>
      <c r="H56" s="125"/>
      <c r="I56" s="130" t="s">
        <v>11</v>
      </c>
      <c r="J56" s="131">
        <v>5.7</v>
      </c>
      <c r="K56" s="125">
        <v>6.5</v>
      </c>
      <c r="L56" s="125">
        <v>6</v>
      </c>
      <c r="M56" s="125">
        <v>6.5</v>
      </c>
      <c r="N56" s="125">
        <v>5.7</v>
      </c>
      <c r="O56" s="129">
        <v>6.4</v>
      </c>
      <c r="Q56" s="128" t="str">
        <f t="shared" si="6"/>
        <v>C/dB</v>
      </c>
      <c r="R56" s="127">
        <f t="shared" si="7"/>
        <v>-1.8000000000000003</v>
      </c>
      <c r="S56" s="127">
        <f t="shared" si="7"/>
        <v>-2</v>
      </c>
      <c r="T56" s="127">
        <f t="shared" si="7"/>
        <v>-2.2</v>
      </c>
      <c r="U56" s="127">
        <f t="shared" si="7"/>
        <v>-1.5</v>
      </c>
      <c r="V56" s="127">
        <f t="shared" si="7"/>
        <v>-2</v>
      </c>
      <c r="W56" s="127">
        <f t="shared" si="7"/>
        <v>-1.5</v>
      </c>
      <c r="Y56" s="130"/>
      <c r="Z56" s="131"/>
      <c r="AA56" s="125"/>
      <c r="AB56" s="125"/>
      <c r="AC56" s="125"/>
      <c r="AD56" s="125"/>
      <c r="AE56" s="129"/>
      <c r="AF56" s="125"/>
      <c r="AG56" s="130"/>
      <c r="AH56" s="131"/>
      <c r="AI56" s="125"/>
      <c r="AJ56" s="125"/>
      <c r="AK56" s="125"/>
      <c r="AL56" s="125"/>
      <c r="AM56" s="129"/>
      <c r="AP56" s="127"/>
      <c r="AQ56" s="127"/>
      <c r="AR56" s="127"/>
      <c r="AS56" s="127"/>
      <c r="AT56" s="127"/>
      <c r="AU56" s="127"/>
    </row>
    <row r="57" spans="1:47" ht="13.5" customHeight="1">
      <c r="A57" s="130" t="s">
        <v>12</v>
      </c>
      <c r="B57" s="131">
        <v>63.2</v>
      </c>
      <c r="C57" s="125">
        <v>57.8</v>
      </c>
      <c r="D57" s="125">
        <v>64.4</v>
      </c>
      <c r="E57" s="125">
        <v>54.1</v>
      </c>
      <c r="F57" s="125">
        <v>64.7</v>
      </c>
      <c r="G57" s="129">
        <v>54.9</v>
      </c>
      <c r="H57" s="125"/>
      <c r="I57" s="130" t="s">
        <v>12</v>
      </c>
      <c r="J57" s="131">
        <v>50.2</v>
      </c>
      <c r="K57" s="125">
        <v>43.3</v>
      </c>
      <c r="L57" s="125">
        <v>49.1</v>
      </c>
      <c r="M57" s="125">
        <v>43.9</v>
      </c>
      <c r="N57" s="125">
        <v>49.3</v>
      </c>
      <c r="O57" s="129">
        <v>44.2</v>
      </c>
      <c r="Q57" s="128" t="str">
        <f t="shared" si="6"/>
        <v>TS/ms</v>
      </c>
      <c r="R57" s="127">
        <f t="shared" si="7"/>
        <v>13</v>
      </c>
      <c r="S57" s="127">
        <f t="shared" si="7"/>
        <v>14.5</v>
      </c>
      <c r="T57" s="127">
        <f t="shared" si="7"/>
        <v>15.300000000000004</v>
      </c>
      <c r="U57" s="127">
        <f t="shared" si="7"/>
        <v>10.200000000000003</v>
      </c>
      <c r="V57" s="127">
        <f t="shared" si="7"/>
        <v>15.400000000000006</v>
      </c>
      <c r="W57" s="127">
        <f t="shared" si="7"/>
        <v>10.699999999999996</v>
      </c>
      <c r="Y57" s="130"/>
      <c r="Z57" s="131"/>
      <c r="AA57" s="125"/>
      <c r="AB57" s="125"/>
      <c r="AC57" s="125"/>
      <c r="AD57" s="125"/>
      <c r="AE57" s="129"/>
      <c r="AF57" s="125"/>
      <c r="AG57" s="130"/>
      <c r="AH57" s="131"/>
      <c r="AI57" s="125"/>
      <c r="AJ57" s="125"/>
      <c r="AK57" s="125"/>
      <c r="AL57" s="125"/>
      <c r="AM57" s="129"/>
      <c r="AP57" s="127"/>
      <c r="AQ57" s="127"/>
      <c r="AR57" s="127"/>
      <c r="AS57" s="127"/>
      <c r="AT57" s="127"/>
      <c r="AU57" s="127"/>
    </row>
    <row r="58" spans="1:47" ht="12" customHeight="1">
      <c r="A58" s="130" t="s">
        <v>13</v>
      </c>
      <c r="B58" s="131">
        <v>18.5</v>
      </c>
      <c r="C58" s="125">
        <v>19.8</v>
      </c>
      <c r="D58" s="125">
        <v>18.5</v>
      </c>
      <c r="E58" s="125">
        <v>19.6</v>
      </c>
      <c r="F58" s="125">
        <v>18.7</v>
      </c>
      <c r="G58" s="129">
        <v>19.8</v>
      </c>
      <c r="H58" s="125"/>
      <c r="I58" s="130" t="s">
        <v>13</v>
      </c>
      <c r="J58" s="131">
        <v>17.5</v>
      </c>
      <c r="K58" s="125">
        <v>19</v>
      </c>
      <c r="L58" s="125">
        <v>18</v>
      </c>
      <c r="M58" s="125">
        <v>18.5</v>
      </c>
      <c r="N58" s="125">
        <v>18.2</v>
      </c>
      <c r="O58" s="129">
        <v>19</v>
      </c>
      <c r="Q58" s="128" t="str">
        <f t="shared" si="6"/>
        <v>G/dB</v>
      </c>
      <c r="R58" s="127">
        <f t="shared" si="7"/>
        <v>1</v>
      </c>
      <c r="S58" s="127">
        <f t="shared" si="7"/>
        <v>0.8000000000000007</v>
      </c>
      <c r="T58" s="127">
        <f t="shared" si="7"/>
        <v>0.5</v>
      </c>
      <c r="U58" s="127">
        <f t="shared" si="7"/>
        <v>1.1000000000000014</v>
      </c>
      <c r="V58" s="127">
        <f t="shared" si="7"/>
        <v>0.5</v>
      </c>
      <c r="W58" s="127">
        <f t="shared" si="7"/>
        <v>0.8000000000000007</v>
      </c>
      <c r="Y58" s="130"/>
      <c r="Z58" s="131"/>
      <c r="AA58" s="125"/>
      <c r="AB58" s="125"/>
      <c r="AC58" s="125"/>
      <c r="AD58" s="125"/>
      <c r="AE58" s="129"/>
      <c r="AF58" s="125"/>
      <c r="AG58" s="130"/>
      <c r="AH58" s="131"/>
      <c r="AI58" s="125"/>
      <c r="AJ58" s="125"/>
      <c r="AK58" s="125"/>
      <c r="AL58" s="125"/>
      <c r="AM58" s="129"/>
      <c r="AP58" s="127"/>
      <c r="AQ58" s="127"/>
      <c r="AR58" s="127"/>
      <c r="AS58" s="127"/>
      <c r="AT58" s="127"/>
      <c r="AU58" s="127"/>
    </row>
    <row r="59" spans="1:47" ht="12.75">
      <c r="A59" s="130" t="s">
        <v>14</v>
      </c>
      <c r="B59" s="131">
        <v>27.2</v>
      </c>
      <c r="C59" s="125">
        <v>23.3</v>
      </c>
      <c r="D59" s="125">
        <v>24.9</v>
      </c>
      <c r="E59" s="125">
        <v>22</v>
      </c>
      <c r="F59" s="125">
        <v>26</v>
      </c>
      <c r="G59" s="129">
        <v>24.4</v>
      </c>
      <c r="H59" s="125"/>
      <c r="I59" s="130" t="s">
        <v>14</v>
      </c>
      <c r="J59" s="131">
        <v>23.1</v>
      </c>
      <c r="K59" s="125">
        <v>20.9</v>
      </c>
      <c r="L59" s="125">
        <v>28.5</v>
      </c>
      <c r="M59" s="125">
        <v>20.4</v>
      </c>
      <c r="N59" s="125">
        <v>25.8</v>
      </c>
      <c r="O59" s="129">
        <v>22.4</v>
      </c>
      <c r="Q59" s="128" t="str">
        <f t="shared" si="6"/>
        <v>LF/%</v>
      </c>
      <c r="R59" s="127">
        <f t="shared" si="7"/>
        <v>4.099999999999998</v>
      </c>
      <c r="S59" s="127">
        <f t="shared" si="7"/>
        <v>2.400000000000002</v>
      </c>
      <c r="T59" s="127">
        <f t="shared" si="7"/>
        <v>-3.6000000000000014</v>
      </c>
      <c r="U59" s="127">
        <f t="shared" si="7"/>
        <v>1.6000000000000014</v>
      </c>
      <c r="V59" s="127">
        <f t="shared" si="7"/>
        <v>0.1999999999999993</v>
      </c>
      <c r="W59" s="127">
        <f t="shared" si="7"/>
        <v>2</v>
      </c>
      <c r="Y59" s="130"/>
      <c r="Z59" s="131"/>
      <c r="AA59" s="125"/>
      <c r="AB59" s="125"/>
      <c r="AC59" s="125"/>
      <c r="AD59" s="125"/>
      <c r="AE59" s="129"/>
      <c r="AF59" s="125"/>
      <c r="AG59" s="130"/>
      <c r="AH59" s="131"/>
      <c r="AI59" s="125"/>
      <c r="AJ59" s="125"/>
      <c r="AK59" s="125"/>
      <c r="AL59" s="125"/>
      <c r="AM59" s="129"/>
      <c r="AP59" s="127"/>
      <c r="AQ59" s="127"/>
      <c r="AR59" s="127"/>
      <c r="AS59" s="127"/>
      <c r="AT59" s="127"/>
      <c r="AU59" s="127"/>
    </row>
    <row r="60" spans="1:47" ht="12.75">
      <c r="A60" s="130" t="s">
        <v>15</v>
      </c>
      <c r="B60" s="131">
        <v>38.8</v>
      </c>
      <c r="C60" s="125">
        <v>33.5</v>
      </c>
      <c r="D60" s="125">
        <v>39.2</v>
      </c>
      <c r="E60" s="125">
        <v>32.7</v>
      </c>
      <c r="F60" s="125">
        <v>38.8</v>
      </c>
      <c r="G60" s="129">
        <v>35.5</v>
      </c>
      <c r="H60" s="125"/>
      <c r="I60" s="130" t="s">
        <v>15</v>
      </c>
      <c r="J60" s="131">
        <v>33.8</v>
      </c>
      <c r="K60" s="125">
        <v>31.3</v>
      </c>
      <c r="L60" s="125">
        <v>42</v>
      </c>
      <c r="M60" s="125">
        <v>30</v>
      </c>
      <c r="N60" s="125">
        <v>38.5</v>
      </c>
      <c r="O60" s="129">
        <v>33.1</v>
      </c>
      <c r="Q60" s="128" t="str">
        <f t="shared" si="6"/>
        <v>LFC/%</v>
      </c>
      <c r="R60" s="127">
        <f t="shared" si="7"/>
        <v>5</v>
      </c>
      <c r="S60" s="127">
        <f t="shared" si="7"/>
        <v>2.1999999999999993</v>
      </c>
      <c r="T60" s="127">
        <f t="shared" si="7"/>
        <v>-2.799999999999997</v>
      </c>
      <c r="U60" s="127">
        <f t="shared" si="7"/>
        <v>2.700000000000003</v>
      </c>
      <c r="V60" s="127">
        <f t="shared" si="7"/>
        <v>0.29999999999999716</v>
      </c>
      <c r="W60" s="127">
        <f t="shared" si="7"/>
        <v>2.3999999999999986</v>
      </c>
      <c r="Y60" s="130"/>
      <c r="Z60" s="131"/>
      <c r="AA60" s="125"/>
      <c r="AB60" s="125"/>
      <c r="AC60" s="125"/>
      <c r="AD60" s="125"/>
      <c r="AE60" s="129"/>
      <c r="AF60" s="125"/>
      <c r="AG60" s="130"/>
      <c r="AH60" s="131"/>
      <c r="AI60" s="125"/>
      <c r="AJ60" s="125"/>
      <c r="AK60" s="125"/>
      <c r="AL60" s="125"/>
      <c r="AM60" s="129"/>
      <c r="AP60" s="127"/>
      <c r="AQ60" s="127"/>
      <c r="AR60" s="127"/>
      <c r="AS60" s="127"/>
      <c r="AT60" s="127"/>
      <c r="AU60" s="127"/>
    </row>
    <row r="61" spans="1:47" ht="12.75">
      <c r="A61" s="134" t="s">
        <v>16</v>
      </c>
      <c r="B61" s="135">
        <v>0.34</v>
      </c>
      <c r="C61" s="132">
        <v>0.35</v>
      </c>
      <c r="D61" s="132">
        <v>0.29</v>
      </c>
      <c r="E61" s="132">
        <v>0.43</v>
      </c>
      <c r="F61" s="132">
        <v>0.28</v>
      </c>
      <c r="G61" s="133">
        <v>0.26</v>
      </c>
      <c r="H61" s="125"/>
      <c r="I61" s="134" t="s">
        <v>16</v>
      </c>
      <c r="J61" s="135">
        <v>0.38</v>
      </c>
      <c r="K61" s="132">
        <v>0.35</v>
      </c>
      <c r="L61" s="132">
        <v>0.25</v>
      </c>
      <c r="M61" s="132">
        <v>0.32</v>
      </c>
      <c r="N61" s="132">
        <v>0.23</v>
      </c>
      <c r="O61" s="133">
        <v>0.25</v>
      </c>
      <c r="Q61" s="128" t="str">
        <f t="shared" si="6"/>
        <v>IACC</v>
      </c>
      <c r="R61" s="127">
        <f t="shared" si="7"/>
        <v>-0.03999999999999998</v>
      </c>
      <c r="S61" s="127">
        <f t="shared" si="7"/>
        <v>0</v>
      </c>
      <c r="T61" s="127">
        <f t="shared" si="7"/>
        <v>0.03999999999999998</v>
      </c>
      <c r="U61" s="127">
        <f t="shared" si="7"/>
        <v>0.10999999999999999</v>
      </c>
      <c r="V61" s="127">
        <f t="shared" si="7"/>
        <v>0.05000000000000002</v>
      </c>
      <c r="W61" s="127">
        <f t="shared" si="7"/>
        <v>0.010000000000000009</v>
      </c>
      <c r="Y61" s="134"/>
      <c r="Z61" s="135"/>
      <c r="AA61" s="132"/>
      <c r="AB61" s="132"/>
      <c r="AC61" s="132"/>
      <c r="AD61" s="132"/>
      <c r="AE61" s="133"/>
      <c r="AF61" s="125"/>
      <c r="AG61" s="134"/>
      <c r="AH61" s="135"/>
      <c r="AI61" s="132"/>
      <c r="AJ61" s="132"/>
      <c r="AK61" s="132"/>
      <c r="AL61" s="132"/>
      <c r="AM61" s="133"/>
      <c r="AP61" s="127"/>
      <c r="AQ61" s="127"/>
      <c r="AR61" s="127"/>
      <c r="AS61" s="127"/>
      <c r="AT61" s="127"/>
      <c r="AU61" s="127"/>
    </row>
    <row r="62" spans="5:39" ht="12.75">
      <c r="E62" s="136"/>
      <c r="F62" s="136"/>
      <c r="G62" s="136"/>
      <c r="H62" s="136"/>
      <c r="M62" s="136"/>
      <c r="N62" s="136"/>
      <c r="O62" s="136"/>
      <c r="AC62" s="136"/>
      <c r="AD62" s="136"/>
      <c r="AE62" s="136"/>
      <c r="AF62" s="136"/>
      <c r="AK62" s="136"/>
      <c r="AL62" s="136"/>
      <c r="AM62" s="136"/>
    </row>
    <row r="63" spans="1:39" ht="12.75">
      <c r="A63" s="155" t="s">
        <v>20</v>
      </c>
      <c r="B63" s="156" t="s">
        <v>1</v>
      </c>
      <c r="E63" s="136"/>
      <c r="F63" s="136"/>
      <c r="G63" s="136"/>
      <c r="H63" s="136"/>
      <c r="I63" s="155" t="s">
        <v>20</v>
      </c>
      <c r="J63" s="156" t="s">
        <v>1</v>
      </c>
      <c r="M63" s="136"/>
      <c r="N63" s="136"/>
      <c r="O63" s="136"/>
      <c r="Q63" s="128" t="str">
        <f>+A63</f>
        <v>2000 Hz</v>
      </c>
      <c r="R63" s="128" t="str">
        <f>+B63</f>
        <v>octave</v>
      </c>
      <c r="Y63" s="155"/>
      <c r="Z63" s="156"/>
      <c r="AC63" s="136"/>
      <c r="AD63" s="136"/>
      <c r="AE63" s="136"/>
      <c r="AF63" s="136"/>
      <c r="AG63" s="155"/>
      <c r="AH63" s="156"/>
      <c r="AK63" s="136"/>
      <c r="AL63" s="136"/>
      <c r="AM63" s="136"/>
    </row>
    <row r="64" spans="1:39" ht="12.75">
      <c r="A64" s="142"/>
      <c r="B64" s="140" t="s">
        <v>2</v>
      </c>
      <c r="C64" s="140" t="s">
        <v>3</v>
      </c>
      <c r="D64" s="139" t="s">
        <v>4</v>
      </c>
      <c r="E64" s="139" t="s">
        <v>5</v>
      </c>
      <c r="F64" s="140" t="s">
        <v>6</v>
      </c>
      <c r="G64" s="139" t="s">
        <v>7</v>
      </c>
      <c r="H64" s="141"/>
      <c r="I64" s="142"/>
      <c r="J64" s="140" t="s">
        <v>2</v>
      </c>
      <c r="K64" s="140" t="s">
        <v>3</v>
      </c>
      <c r="L64" s="139" t="s">
        <v>4</v>
      </c>
      <c r="M64" s="139" t="s">
        <v>5</v>
      </c>
      <c r="N64" s="140" t="s">
        <v>6</v>
      </c>
      <c r="O64" s="139" t="s">
        <v>7</v>
      </c>
      <c r="Q64" s="128">
        <f>+A64</f>
        <v>0</v>
      </c>
      <c r="R64" s="128" t="str">
        <f>+B64</f>
        <v>S1R1</v>
      </c>
      <c r="S64" s="128" t="str">
        <f>+C64</f>
        <v>S1R2</v>
      </c>
      <c r="T64" s="128" t="str">
        <f>+D64</f>
        <v>S1R3</v>
      </c>
      <c r="U64" s="128" t="str">
        <f>+E64</f>
        <v>S2R1</v>
      </c>
      <c r="V64" s="128" t="str">
        <f>+F64</f>
        <v>S2R2</v>
      </c>
      <c r="W64" s="128" t="str">
        <f>+G64</f>
        <v>S2R3</v>
      </c>
      <c r="Y64" s="142"/>
      <c r="Z64" s="140"/>
      <c r="AA64" s="140"/>
      <c r="AB64" s="139"/>
      <c r="AC64" s="139"/>
      <c r="AD64" s="140"/>
      <c r="AE64" s="139"/>
      <c r="AF64" s="141"/>
      <c r="AG64" s="142"/>
      <c r="AH64" s="140"/>
      <c r="AI64" s="140"/>
      <c r="AJ64" s="139"/>
      <c r="AK64" s="139"/>
      <c r="AL64" s="140"/>
      <c r="AM64" s="139"/>
    </row>
    <row r="65" spans="1:47" ht="12.75">
      <c r="A65" s="130" t="s">
        <v>8</v>
      </c>
      <c r="B65" s="145">
        <v>1.07</v>
      </c>
      <c r="C65" s="143">
        <v>1.05</v>
      </c>
      <c r="D65" s="143">
        <v>1.07</v>
      </c>
      <c r="E65" s="125">
        <v>1.05</v>
      </c>
      <c r="F65" s="143">
        <v>1.05</v>
      </c>
      <c r="G65" s="144">
        <v>1.05</v>
      </c>
      <c r="H65" s="125"/>
      <c r="I65" s="130" t="s">
        <v>8</v>
      </c>
      <c r="J65" s="145">
        <v>0.73</v>
      </c>
      <c r="K65" s="143">
        <v>0.74</v>
      </c>
      <c r="L65" s="143">
        <v>0.74</v>
      </c>
      <c r="M65" s="125">
        <v>0.73</v>
      </c>
      <c r="N65" s="143">
        <v>0.75</v>
      </c>
      <c r="O65" s="144">
        <v>0.74</v>
      </c>
      <c r="Q65" s="128" t="str">
        <f aca="true" t="shared" si="8" ref="Q65:Q73">+A65</f>
        <v>T30/s</v>
      </c>
      <c r="R65" s="127">
        <f aca="true" t="shared" si="9" ref="R65:W73">+B65-J65</f>
        <v>0.3400000000000001</v>
      </c>
      <c r="S65" s="127">
        <f t="shared" si="9"/>
        <v>0.31000000000000005</v>
      </c>
      <c r="T65" s="127">
        <f t="shared" si="9"/>
        <v>0.33000000000000007</v>
      </c>
      <c r="U65" s="127">
        <f t="shared" si="9"/>
        <v>0.32000000000000006</v>
      </c>
      <c r="V65" s="127">
        <f t="shared" si="9"/>
        <v>0.30000000000000004</v>
      </c>
      <c r="W65" s="127">
        <f t="shared" si="9"/>
        <v>0.31000000000000005</v>
      </c>
      <c r="Y65" s="130"/>
      <c r="Z65" s="145"/>
      <c r="AA65" s="143"/>
      <c r="AB65" s="143"/>
      <c r="AC65" s="125"/>
      <c r="AD65" s="143"/>
      <c r="AE65" s="144"/>
      <c r="AF65" s="125"/>
      <c r="AG65" s="130"/>
      <c r="AH65" s="145"/>
      <c r="AI65" s="143"/>
      <c r="AJ65" s="143"/>
      <c r="AK65" s="125"/>
      <c r="AL65" s="143"/>
      <c r="AM65" s="144"/>
      <c r="AP65" s="127"/>
      <c r="AQ65" s="127"/>
      <c r="AR65" s="127"/>
      <c r="AS65" s="127"/>
      <c r="AT65" s="127"/>
      <c r="AU65" s="127"/>
    </row>
    <row r="66" spans="1:47" ht="12.75">
      <c r="A66" s="130" t="s">
        <v>9</v>
      </c>
      <c r="B66" s="131">
        <v>1.05</v>
      </c>
      <c r="C66" s="125">
        <v>1.04</v>
      </c>
      <c r="D66" s="125">
        <v>1.04</v>
      </c>
      <c r="E66" s="125">
        <v>1</v>
      </c>
      <c r="F66" s="125">
        <v>1.04</v>
      </c>
      <c r="G66" s="129">
        <v>1.03</v>
      </c>
      <c r="H66" s="125"/>
      <c r="I66" s="130" t="s">
        <v>9</v>
      </c>
      <c r="J66" s="131">
        <v>0.72</v>
      </c>
      <c r="K66" s="125">
        <v>0.72</v>
      </c>
      <c r="L66" s="125">
        <v>0.72</v>
      </c>
      <c r="M66" s="125">
        <v>0.74</v>
      </c>
      <c r="N66" s="125">
        <v>0.76</v>
      </c>
      <c r="O66" s="129">
        <v>0.71</v>
      </c>
      <c r="Q66" s="128" t="str">
        <f t="shared" si="8"/>
        <v>EDT/s</v>
      </c>
      <c r="R66" s="127">
        <f t="shared" si="9"/>
        <v>0.33000000000000007</v>
      </c>
      <c r="S66" s="127">
        <f t="shared" si="9"/>
        <v>0.32000000000000006</v>
      </c>
      <c r="T66" s="127">
        <f t="shared" si="9"/>
        <v>0.32000000000000006</v>
      </c>
      <c r="U66" s="127">
        <f t="shared" si="9"/>
        <v>0.26</v>
      </c>
      <c r="V66" s="127">
        <f t="shared" si="9"/>
        <v>0.28</v>
      </c>
      <c r="W66" s="127">
        <f t="shared" si="9"/>
        <v>0.32000000000000006</v>
      </c>
      <c r="Y66" s="130"/>
      <c r="Z66" s="131"/>
      <c r="AA66" s="125"/>
      <c r="AB66" s="125"/>
      <c r="AC66" s="125"/>
      <c r="AD66" s="125"/>
      <c r="AE66" s="129"/>
      <c r="AF66" s="125"/>
      <c r="AG66" s="130"/>
      <c r="AH66" s="131"/>
      <c r="AI66" s="125"/>
      <c r="AJ66" s="125"/>
      <c r="AK66" s="125"/>
      <c r="AL66" s="125"/>
      <c r="AM66" s="129"/>
      <c r="AP66" s="127"/>
      <c r="AQ66" s="127"/>
      <c r="AR66" s="127"/>
      <c r="AS66" s="127"/>
      <c r="AT66" s="127"/>
      <c r="AU66" s="127"/>
    </row>
    <row r="67" spans="1:47" ht="12.75">
      <c r="A67" s="130" t="s">
        <v>10</v>
      </c>
      <c r="B67" s="131">
        <v>50.6</v>
      </c>
      <c r="C67" s="125">
        <v>57.1</v>
      </c>
      <c r="D67" s="125">
        <v>48.6</v>
      </c>
      <c r="E67" s="125">
        <v>60</v>
      </c>
      <c r="F67" s="125">
        <v>51.8</v>
      </c>
      <c r="G67" s="129">
        <v>59</v>
      </c>
      <c r="H67" s="125"/>
      <c r="I67" s="130" t="s">
        <v>10</v>
      </c>
      <c r="J67" s="131">
        <v>64</v>
      </c>
      <c r="K67" s="125">
        <v>70.1</v>
      </c>
      <c r="L67" s="125">
        <v>63.4</v>
      </c>
      <c r="M67" s="125">
        <v>67.7</v>
      </c>
      <c r="N67" s="125">
        <v>62</v>
      </c>
      <c r="O67" s="129">
        <v>68.6</v>
      </c>
      <c r="Q67" s="128" t="str">
        <f t="shared" si="8"/>
        <v>D/%</v>
      </c>
      <c r="R67" s="127">
        <f t="shared" si="9"/>
        <v>-13.399999999999999</v>
      </c>
      <c r="S67" s="127">
        <f t="shared" si="9"/>
        <v>-12.999999999999993</v>
      </c>
      <c r="T67" s="127">
        <f t="shared" si="9"/>
        <v>-14.799999999999997</v>
      </c>
      <c r="U67" s="127">
        <f t="shared" si="9"/>
        <v>-7.700000000000003</v>
      </c>
      <c r="V67" s="127">
        <f t="shared" si="9"/>
        <v>-10.200000000000003</v>
      </c>
      <c r="W67" s="127">
        <f t="shared" si="9"/>
        <v>-9.599999999999994</v>
      </c>
      <c r="Y67" s="130"/>
      <c r="Z67" s="131"/>
      <c r="AA67" s="125"/>
      <c r="AB67" s="125"/>
      <c r="AC67" s="125"/>
      <c r="AD67" s="125"/>
      <c r="AE67" s="129"/>
      <c r="AF67" s="125"/>
      <c r="AG67" s="130"/>
      <c r="AH67" s="131"/>
      <c r="AI67" s="125"/>
      <c r="AJ67" s="125"/>
      <c r="AK67" s="125"/>
      <c r="AL67" s="125"/>
      <c r="AM67" s="129"/>
      <c r="AP67" s="127"/>
      <c r="AQ67" s="127"/>
      <c r="AR67" s="127"/>
      <c r="AS67" s="127"/>
      <c r="AT67" s="127"/>
      <c r="AU67" s="127"/>
    </row>
    <row r="68" spans="1:47" ht="12.75">
      <c r="A68" s="130" t="s">
        <v>11</v>
      </c>
      <c r="B68" s="131">
        <v>3.1</v>
      </c>
      <c r="C68" s="125">
        <v>3.9</v>
      </c>
      <c r="D68" s="125">
        <v>2.9</v>
      </c>
      <c r="E68" s="125">
        <v>4.4</v>
      </c>
      <c r="F68" s="125">
        <v>3</v>
      </c>
      <c r="G68" s="129">
        <v>3.8</v>
      </c>
      <c r="H68" s="125"/>
      <c r="I68" s="130" t="s">
        <v>11</v>
      </c>
      <c r="J68" s="131">
        <v>6.1</v>
      </c>
      <c r="K68" s="125">
        <v>6.7</v>
      </c>
      <c r="L68" s="125">
        <v>5.9</v>
      </c>
      <c r="M68" s="125">
        <v>6.5</v>
      </c>
      <c r="N68" s="125">
        <v>5.4</v>
      </c>
      <c r="O68" s="129">
        <v>6.9</v>
      </c>
      <c r="Q68" s="128" t="str">
        <f t="shared" si="8"/>
        <v>C/dB</v>
      </c>
      <c r="R68" s="127">
        <f t="shared" si="9"/>
        <v>-2.9999999999999996</v>
      </c>
      <c r="S68" s="127">
        <f t="shared" si="9"/>
        <v>-2.8000000000000003</v>
      </c>
      <c r="T68" s="127">
        <f t="shared" si="9"/>
        <v>-3.0000000000000004</v>
      </c>
      <c r="U68" s="127">
        <f t="shared" si="9"/>
        <v>-2.0999999999999996</v>
      </c>
      <c r="V68" s="127">
        <f t="shared" si="9"/>
        <v>-2.4000000000000004</v>
      </c>
      <c r="W68" s="127">
        <f t="shared" si="9"/>
        <v>-3.1000000000000005</v>
      </c>
      <c r="Y68" s="130"/>
      <c r="Z68" s="131"/>
      <c r="AA68" s="125"/>
      <c r="AB68" s="125"/>
      <c r="AC68" s="125"/>
      <c r="AD68" s="125"/>
      <c r="AE68" s="129"/>
      <c r="AF68" s="125"/>
      <c r="AG68" s="130"/>
      <c r="AH68" s="131"/>
      <c r="AI68" s="125"/>
      <c r="AJ68" s="125"/>
      <c r="AK68" s="125"/>
      <c r="AL68" s="125"/>
      <c r="AM68" s="129"/>
      <c r="AP68" s="127"/>
      <c r="AQ68" s="127"/>
      <c r="AR68" s="127"/>
      <c r="AS68" s="127"/>
      <c r="AT68" s="127"/>
      <c r="AU68" s="127"/>
    </row>
    <row r="69" spans="1:47" ht="12.75">
      <c r="A69" s="130" t="s">
        <v>12</v>
      </c>
      <c r="B69" s="131">
        <v>71.7</v>
      </c>
      <c r="C69" s="125">
        <v>64.4</v>
      </c>
      <c r="D69" s="125">
        <v>73.8</v>
      </c>
      <c r="E69" s="125">
        <v>60.2</v>
      </c>
      <c r="F69" s="125">
        <v>71.9</v>
      </c>
      <c r="G69" s="129">
        <v>62.9</v>
      </c>
      <c r="H69" s="125"/>
      <c r="I69" s="130" t="s">
        <v>12</v>
      </c>
      <c r="J69" s="131">
        <v>48.3</v>
      </c>
      <c r="K69" s="125">
        <v>42.9</v>
      </c>
      <c r="L69" s="125">
        <v>50.7</v>
      </c>
      <c r="M69" s="125">
        <v>43.5</v>
      </c>
      <c r="N69" s="125">
        <v>51.6</v>
      </c>
      <c r="O69" s="129">
        <v>43.1</v>
      </c>
      <c r="Q69" s="128" t="str">
        <f t="shared" si="8"/>
        <v>TS/ms</v>
      </c>
      <c r="R69" s="127">
        <f t="shared" si="9"/>
        <v>23.400000000000006</v>
      </c>
      <c r="S69" s="127">
        <f t="shared" si="9"/>
        <v>21.500000000000007</v>
      </c>
      <c r="T69" s="127">
        <f t="shared" si="9"/>
        <v>23.099999999999994</v>
      </c>
      <c r="U69" s="127">
        <f t="shared" si="9"/>
        <v>16.700000000000003</v>
      </c>
      <c r="V69" s="127">
        <f t="shared" si="9"/>
        <v>20.300000000000004</v>
      </c>
      <c r="W69" s="127">
        <f t="shared" si="9"/>
        <v>19.799999999999997</v>
      </c>
      <c r="Y69" s="130"/>
      <c r="Z69" s="131"/>
      <c r="AA69" s="125"/>
      <c r="AB69" s="125"/>
      <c r="AC69" s="125"/>
      <c r="AD69" s="125"/>
      <c r="AE69" s="129"/>
      <c r="AF69" s="125"/>
      <c r="AG69" s="130"/>
      <c r="AH69" s="131"/>
      <c r="AI69" s="125"/>
      <c r="AJ69" s="125"/>
      <c r="AK69" s="125"/>
      <c r="AL69" s="125"/>
      <c r="AM69" s="129"/>
      <c r="AP69" s="127"/>
      <c r="AQ69" s="127"/>
      <c r="AR69" s="127"/>
      <c r="AS69" s="127"/>
      <c r="AT69" s="127"/>
      <c r="AU69" s="127"/>
    </row>
    <row r="70" spans="1:47" ht="12.75">
      <c r="A70" s="130" t="s">
        <v>13</v>
      </c>
      <c r="B70" s="131">
        <v>18.9</v>
      </c>
      <c r="C70" s="125">
        <v>20.2</v>
      </c>
      <c r="D70" s="125">
        <v>19</v>
      </c>
      <c r="E70" s="125">
        <v>20</v>
      </c>
      <c r="F70" s="125">
        <v>19.3</v>
      </c>
      <c r="G70" s="129">
        <v>20.2</v>
      </c>
      <c r="H70" s="125"/>
      <c r="I70" s="130" t="s">
        <v>13</v>
      </c>
      <c r="J70" s="131">
        <v>17.6</v>
      </c>
      <c r="K70" s="125">
        <v>19.1</v>
      </c>
      <c r="L70" s="125">
        <v>17.9</v>
      </c>
      <c r="M70" s="125">
        <v>18.7</v>
      </c>
      <c r="N70" s="125">
        <v>17.9</v>
      </c>
      <c r="O70" s="129">
        <v>19.3</v>
      </c>
      <c r="Q70" s="128" t="str">
        <f t="shared" si="8"/>
        <v>G/dB</v>
      </c>
      <c r="R70" s="127">
        <f t="shared" si="9"/>
        <v>1.2999999999999972</v>
      </c>
      <c r="S70" s="127">
        <f t="shared" si="9"/>
        <v>1.0999999999999979</v>
      </c>
      <c r="T70" s="127">
        <f t="shared" si="9"/>
        <v>1.1000000000000014</v>
      </c>
      <c r="U70" s="127">
        <f t="shared" si="9"/>
        <v>1.3000000000000007</v>
      </c>
      <c r="V70" s="127">
        <f t="shared" si="9"/>
        <v>1.4000000000000021</v>
      </c>
      <c r="W70" s="127">
        <f t="shared" si="9"/>
        <v>0.8999999999999986</v>
      </c>
      <c r="Y70" s="130"/>
      <c r="Z70" s="131"/>
      <c r="AA70" s="125"/>
      <c r="AB70" s="125"/>
      <c r="AC70" s="125"/>
      <c r="AD70" s="125"/>
      <c r="AE70" s="129"/>
      <c r="AF70" s="125"/>
      <c r="AG70" s="130"/>
      <c r="AH70" s="131"/>
      <c r="AI70" s="125"/>
      <c r="AJ70" s="125"/>
      <c r="AK70" s="125"/>
      <c r="AL70" s="125"/>
      <c r="AM70" s="129"/>
      <c r="AP70" s="127"/>
      <c r="AQ70" s="127"/>
      <c r="AR70" s="127"/>
      <c r="AS70" s="127"/>
      <c r="AT70" s="127"/>
      <c r="AU70" s="127"/>
    </row>
    <row r="71" spans="1:47" ht="12.75">
      <c r="A71" s="130" t="s">
        <v>14</v>
      </c>
      <c r="B71" s="131">
        <v>26.8</v>
      </c>
      <c r="C71" s="125">
        <v>23.6</v>
      </c>
      <c r="D71" s="125">
        <v>24.7</v>
      </c>
      <c r="E71" s="125">
        <v>23.9</v>
      </c>
      <c r="F71" s="125">
        <v>25.1</v>
      </c>
      <c r="G71" s="129">
        <v>25.9</v>
      </c>
      <c r="H71" s="125"/>
      <c r="I71" s="130" t="s">
        <v>14</v>
      </c>
      <c r="J71" s="131">
        <v>20.6</v>
      </c>
      <c r="K71" s="125">
        <v>22.8</v>
      </c>
      <c r="L71" s="125">
        <v>27.5</v>
      </c>
      <c r="M71" s="125">
        <v>19.8</v>
      </c>
      <c r="N71" s="125">
        <v>23.5</v>
      </c>
      <c r="O71" s="129">
        <v>23.1</v>
      </c>
      <c r="Q71" s="128" t="str">
        <f t="shared" si="8"/>
        <v>LF/%</v>
      </c>
      <c r="R71" s="127">
        <f t="shared" si="9"/>
        <v>6.199999999999999</v>
      </c>
      <c r="S71" s="127">
        <f t="shared" si="9"/>
        <v>0.8000000000000007</v>
      </c>
      <c r="T71" s="127">
        <f t="shared" si="9"/>
        <v>-2.8000000000000007</v>
      </c>
      <c r="U71" s="127">
        <f t="shared" si="9"/>
        <v>4.099999999999998</v>
      </c>
      <c r="V71" s="127">
        <f t="shared" si="9"/>
        <v>1.6000000000000014</v>
      </c>
      <c r="W71" s="127">
        <f t="shared" si="9"/>
        <v>2.799999999999997</v>
      </c>
      <c r="Y71" s="130"/>
      <c r="Z71" s="131"/>
      <c r="AA71" s="125"/>
      <c r="AB71" s="125"/>
      <c r="AC71" s="125"/>
      <c r="AD71" s="125"/>
      <c r="AE71" s="129"/>
      <c r="AF71" s="125"/>
      <c r="AG71" s="130"/>
      <c r="AH71" s="131"/>
      <c r="AI71" s="125"/>
      <c r="AJ71" s="125"/>
      <c r="AK71" s="125"/>
      <c r="AL71" s="125"/>
      <c r="AM71" s="129"/>
      <c r="AP71" s="127"/>
      <c r="AQ71" s="127"/>
      <c r="AR71" s="127"/>
      <c r="AS71" s="127"/>
      <c r="AT71" s="127"/>
      <c r="AU71" s="127"/>
    </row>
    <row r="72" spans="1:47" ht="12.75">
      <c r="A72" s="130" t="s">
        <v>15</v>
      </c>
      <c r="B72" s="131">
        <v>38.2</v>
      </c>
      <c r="C72" s="125">
        <v>34.2</v>
      </c>
      <c r="D72" s="125">
        <v>38.8</v>
      </c>
      <c r="E72" s="125">
        <v>34.6</v>
      </c>
      <c r="F72" s="125">
        <v>38.3</v>
      </c>
      <c r="G72" s="129">
        <v>36.9</v>
      </c>
      <c r="H72" s="125"/>
      <c r="I72" s="130" t="s">
        <v>15</v>
      </c>
      <c r="J72" s="131">
        <v>31.9</v>
      </c>
      <c r="K72" s="125">
        <v>33</v>
      </c>
      <c r="L72" s="125">
        <v>41.7</v>
      </c>
      <c r="M72" s="125">
        <v>29.4</v>
      </c>
      <c r="N72" s="125">
        <v>35.7</v>
      </c>
      <c r="O72" s="129">
        <v>34.7</v>
      </c>
      <c r="Q72" s="128" t="str">
        <f t="shared" si="8"/>
        <v>LFC/%</v>
      </c>
      <c r="R72" s="127">
        <f t="shared" si="9"/>
        <v>6.300000000000004</v>
      </c>
      <c r="S72" s="127">
        <f t="shared" si="9"/>
        <v>1.2000000000000028</v>
      </c>
      <c r="T72" s="127">
        <f t="shared" si="9"/>
        <v>-2.9000000000000057</v>
      </c>
      <c r="U72" s="127">
        <f t="shared" si="9"/>
        <v>5.200000000000003</v>
      </c>
      <c r="V72" s="127">
        <f t="shared" si="9"/>
        <v>2.5999999999999943</v>
      </c>
      <c r="W72" s="127">
        <f t="shared" si="9"/>
        <v>2.1999999999999957</v>
      </c>
      <c r="Y72" s="130"/>
      <c r="Z72" s="131"/>
      <c r="AA72" s="125"/>
      <c r="AB72" s="125"/>
      <c r="AC72" s="125"/>
      <c r="AD72" s="125"/>
      <c r="AE72" s="129"/>
      <c r="AF72" s="125"/>
      <c r="AG72" s="130"/>
      <c r="AH72" s="131"/>
      <c r="AI72" s="125"/>
      <c r="AJ72" s="125"/>
      <c r="AK72" s="125"/>
      <c r="AL72" s="125"/>
      <c r="AM72" s="129"/>
      <c r="AP72" s="127"/>
      <c r="AQ72" s="127"/>
      <c r="AR72" s="127"/>
      <c r="AS72" s="127"/>
      <c r="AT72" s="127"/>
      <c r="AU72" s="127"/>
    </row>
    <row r="73" spans="1:47" ht="12.75">
      <c r="A73" s="134" t="s">
        <v>16</v>
      </c>
      <c r="B73" s="135">
        <v>0.36</v>
      </c>
      <c r="C73" s="132">
        <v>0.35</v>
      </c>
      <c r="D73" s="132">
        <v>0.18</v>
      </c>
      <c r="E73" s="132">
        <v>0.37</v>
      </c>
      <c r="F73" s="132">
        <v>0.35</v>
      </c>
      <c r="G73" s="133">
        <v>0.46</v>
      </c>
      <c r="H73" s="125"/>
      <c r="I73" s="134" t="s">
        <v>16</v>
      </c>
      <c r="J73" s="135">
        <v>0.41</v>
      </c>
      <c r="K73" s="132">
        <v>0.39</v>
      </c>
      <c r="L73" s="132">
        <v>0.33</v>
      </c>
      <c r="M73" s="132">
        <v>0.46</v>
      </c>
      <c r="N73" s="132">
        <v>0.35</v>
      </c>
      <c r="O73" s="133">
        <v>0.44</v>
      </c>
      <c r="Q73" s="128" t="str">
        <f t="shared" si="8"/>
        <v>IACC</v>
      </c>
      <c r="R73" s="127">
        <f t="shared" si="9"/>
        <v>-0.04999999999999999</v>
      </c>
      <c r="S73" s="127">
        <f t="shared" si="9"/>
        <v>-0.040000000000000036</v>
      </c>
      <c r="T73" s="127">
        <f t="shared" si="9"/>
        <v>-0.15000000000000002</v>
      </c>
      <c r="U73" s="127">
        <f t="shared" si="9"/>
        <v>-0.09000000000000002</v>
      </c>
      <c r="V73" s="127">
        <f t="shared" si="9"/>
        <v>0</v>
      </c>
      <c r="W73" s="127">
        <f t="shared" si="9"/>
        <v>0.020000000000000018</v>
      </c>
      <c r="Y73" s="134"/>
      <c r="Z73" s="135"/>
      <c r="AA73" s="132"/>
      <c r="AB73" s="132"/>
      <c r="AC73" s="132"/>
      <c r="AD73" s="132"/>
      <c r="AE73" s="133"/>
      <c r="AF73" s="125"/>
      <c r="AG73" s="134"/>
      <c r="AH73" s="135"/>
      <c r="AI73" s="132"/>
      <c r="AJ73" s="132"/>
      <c r="AK73" s="132"/>
      <c r="AL73" s="132"/>
      <c r="AM73" s="133"/>
      <c r="AP73" s="127"/>
      <c r="AQ73" s="127"/>
      <c r="AR73" s="127"/>
      <c r="AS73" s="127"/>
      <c r="AT73" s="127"/>
      <c r="AU73" s="127"/>
    </row>
    <row r="74" spans="5:39" ht="12.75">
      <c r="E74" s="136"/>
      <c r="F74" s="136"/>
      <c r="G74" s="136"/>
      <c r="H74" s="136"/>
      <c r="M74" s="136"/>
      <c r="N74" s="136"/>
      <c r="O74" s="136"/>
      <c r="AC74" s="136"/>
      <c r="AD74" s="136"/>
      <c r="AE74" s="136"/>
      <c r="AF74" s="136"/>
      <c r="AK74" s="136"/>
      <c r="AL74" s="136"/>
      <c r="AM74" s="136"/>
    </row>
    <row r="75" spans="1:39" ht="12.75">
      <c r="A75" s="155" t="s">
        <v>21</v>
      </c>
      <c r="B75" s="156" t="s">
        <v>1</v>
      </c>
      <c r="E75" s="136"/>
      <c r="F75" s="136"/>
      <c r="G75" s="136"/>
      <c r="H75" s="136"/>
      <c r="I75" s="155" t="s">
        <v>21</v>
      </c>
      <c r="J75" s="156" t="s">
        <v>1</v>
      </c>
      <c r="M75" s="136"/>
      <c r="N75" s="136"/>
      <c r="O75" s="136"/>
      <c r="Q75" s="128" t="str">
        <f>+A75</f>
        <v>4000 Hz</v>
      </c>
      <c r="R75" s="128" t="str">
        <f>+B75</f>
        <v>octave</v>
      </c>
      <c r="Y75" s="155"/>
      <c r="Z75" s="156"/>
      <c r="AC75" s="136"/>
      <c r="AD75" s="136"/>
      <c r="AE75" s="136"/>
      <c r="AF75" s="136"/>
      <c r="AG75" s="155"/>
      <c r="AH75" s="156"/>
      <c r="AK75" s="136"/>
      <c r="AL75" s="136"/>
      <c r="AM75" s="136"/>
    </row>
    <row r="76" spans="1:39" ht="12.75">
      <c r="A76" s="142"/>
      <c r="B76" s="140" t="s">
        <v>2</v>
      </c>
      <c r="C76" s="140" t="s">
        <v>3</v>
      </c>
      <c r="D76" s="139" t="s">
        <v>4</v>
      </c>
      <c r="E76" s="139" t="s">
        <v>5</v>
      </c>
      <c r="F76" s="140" t="s">
        <v>6</v>
      </c>
      <c r="G76" s="139" t="s">
        <v>7</v>
      </c>
      <c r="H76" s="141"/>
      <c r="I76" s="142"/>
      <c r="J76" s="140" t="s">
        <v>2</v>
      </c>
      <c r="K76" s="140" t="s">
        <v>3</v>
      </c>
      <c r="L76" s="139" t="s">
        <v>4</v>
      </c>
      <c r="M76" s="139" t="s">
        <v>5</v>
      </c>
      <c r="N76" s="140" t="s">
        <v>6</v>
      </c>
      <c r="O76" s="139" t="s">
        <v>7</v>
      </c>
      <c r="Q76" s="128">
        <f>+A76</f>
        <v>0</v>
      </c>
      <c r="R76" s="128" t="str">
        <f>+B76</f>
        <v>S1R1</v>
      </c>
      <c r="S76" s="128" t="str">
        <f>+C76</f>
        <v>S1R2</v>
      </c>
      <c r="T76" s="128" t="str">
        <f>+D76</f>
        <v>S1R3</v>
      </c>
      <c r="U76" s="128" t="str">
        <f>+E76</f>
        <v>S2R1</v>
      </c>
      <c r="V76" s="128" t="str">
        <f>+F76</f>
        <v>S2R2</v>
      </c>
      <c r="W76" s="128" t="str">
        <f>+G76</f>
        <v>S2R3</v>
      </c>
      <c r="Y76" s="142"/>
      <c r="Z76" s="140"/>
      <c r="AA76" s="140"/>
      <c r="AB76" s="139"/>
      <c r="AC76" s="139"/>
      <c r="AD76" s="140"/>
      <c r="AE76" s="139"/>
      <c r="AF76" s="141"/>
      <c r="AG76" s="142"/>
      <c r="AH76" s="140"/>
      <c r="AI76" s="140"/>
      <c r="AJ76" s="139"/>
      <c r="AK76" s="139"/>
      <c r="AL76" s="140"/>
      <c r="AM76" s="139"/>
    </row>
    <row r="77" spans="1:47" ht="12.75">
      <c r="A77" s="130" t="s">
        <v>8</v>
      </c>
      <c r="B77" s="145">
        <v>0.91</v>
      </c>
      <c r="C77" s="143">
        <v>0.9</v>
      </c>
      <c r="D77" s="143">
        <v>0.91</v>
      </c>
      <c r="E77" s="125">
        <v>0.9</v>
      </c>
      <c r="F77" s="143">
        <v>0.91</v>
      </c>
      <c r="G77" s="144">
        <v>0.92</v>
      </c>
      <c r="H77" s="125"/>
      <c r="I77" s="130" t="s">
        <v>8</v>
      </c>
      <c r="J77" s="145">
        <v>0.64</v>
      </c>
      <c r="K77" s="143">
        <v>0.63</v>
      </c>
      <c r="L77" s="143">
        <v>0.64</v>
      </c>
      <c r="M77" s="125">
        <v>0.64</v>
      </c>
      <c r="N77" s="143">
        <v>0.63</v>
      </c>
      <c r="O77" s="144">
        <v>0.64</v>
      </c>
      <c r="Q77" s="128" t="str">
        <f aca="true" t="shared" si="10" ref="Q77:Q85">+A77</f>
        <v>T30/s</v>
      </c>
      <c r="R77" s="127">
        <f aca="true" t="shared" si="11" ref="R77:W85">+B77-J77</f>
        <v>0.27</v>
      </c>
      <c r="S77" s="127">
        <f t="shared" si="11"/>
        <v>0.27</v>
      </c>
      <c r="T77" s="127">
        <f t="shared" si="11"/>
        <v>0.27</v>
      </c>
      <c r="U77" s="127">
        <f t="shared" si="11"/>
        <v>0.26</v>
      </c>
      <c r="V77" s="127">
        <f t="shared" si="11"/>
        <v>0.28</v>
      </c>
      <c r="W77" s="127">
        <f t="shared" si="11"/>
        <v>0.28</v>
      </c>
      <c r="Y77" s="130"/>
      <c r="Z77" s="145"/>
      <c r="AA77" s="143"/>
      <c r="AB77" s="143"/>
      <c r="AC77" s="125"/>
      <c r="AD77" s="143"/>
      <c r="AE77" s="144"/>
      <c r="AF77" s="125"/>
      <c r="AG77" s="130"/>
      <c r="AH77" s="145"/>
      <c r="AI77" s="143"/>
      <c r="AJ77" s="143"/>
      <c r="AK77" s="125"/>
      <c r="AL77" s="143"/>
      <c r="AM77" s="144"/>
      <c r="AP77" s="127"/>
      <c r="AQ77" s="127"/>
      <c r="AR77" s="127"/>
      <c r="AS77" s="127"/>
      <c r="AT77" s="127"/>
      <c r="AU77" s="127"/>
    </row>
    <row r="78" spans="1:47" ht="12.75">
      <c r="A78" s="130" t="s">
        <v>9</v>
      </c>
      <c r="B78" s="131">
        <v>0.91</v>
      </c>
      <c r="C78" s="125">
        <v>0.9</v>
      </c>
      <c r="D78" s="125">
        <v>0.91</v>
      </c>
      <c r="E78" s="125">
        <v>0.88</v>
      </c>
      <c r="F78" s="125">
        <v>0.89</v>
      </c>
      <c r="G78" s="129">
        <v>0.88</v>
      </c>
      <c r="H78" s="125"/>
      <c r="I78" s="130" t="s">
        <v>9</v>
      </c>
      <c r="J78" s="131">
        <v>0.62</v>
      </c>
      <c r="K78" s="125">
        <v>0.61</v>
      </c>
      <c r="L78" s="125">
        <v>0.64</v>
      </c>
      <c r="M78" s="125">
        <v>0.62</v>
      </c>
      <c r="N78" s="125">
        <v>0.67</v>
      </c>
      <c r="O78" s="129">
        <v>0.59</v>
      </c>
      <c r="Q78" s="128" t="str">
        <f t="shared" si="10"/>
        <v>EDT/s</v>
      </c>
      <c r="R78" s="127">
        <f t="shared" si="11"/>
        <v>0.29000000000000004</v>
      </c>
      <c r="S78" s="127">
        <f t="shared" si="11"/>
        <v>0.29000000000000004</v>
      </c>
      <c r="T78" s="127">
        <f t="shared" si="11"/>
        <v>0.27</v>
      </c>
      <c r="U78" s="127">
        <f t="shared" si="11"/>
        <v>0.26</v>
      </c>
      <c r="V78" s="127">
        <f t="shared" si="11"/>
        <v>0.21999999999999997</v>
      </c>
      <c r="W78" s="127">
        <f t="shared" si="11"/>
        <v>0.29000000000000004</v>
      </c>
      <c r="Y78" s="130"/>
      <c r="Z78" s="131"/>
      <c r="AA78" s="125"/>
      <c r="AB78" s="125"/>
      <c r="AC78" s="125"/>
      <c r="AD78" s="125"/>
      <c r="AE78" s="129"/>
      <c r="AF78" s="125"/>
      <c r="AG78" s="130"/>
      <c r="AH78" s="131"/>
      <c r="AI78" s="125"/>
      <c r="AJ78" s="125"/>
      <c r="AK78" s="125"/>
      <c r="AL78" s="125"/>
      <c r="AM78" s="129"/>
      <c r="AP78" s="127"/>
      <c r="AQ78" s="127"/>
      <c r="AR78" s="127"/>
      <c r="AS78" s="127"/>
      <c r="AT78" s="127"/>
      <c r="AU78" s="127"/>
    </row>
    <row r="79" spans="1:47" ht="12.75">
      <c r="A79" s="130" t="s">
        <v>10</v>
      </c>
      <c r="B79" s="131">
        <v>57.9</v>
      </c>
      <c r="C79" s="125">
        <v>63.4</v>
      </c>
      <c r="D79" s="125">
        <v>55.1</v>
      </c>
      <c r="E79" s="125">
        <v>64.4</v>
      </c>
      <c r="F79" s="125">
        <v>56.4</v>
      </c>
      <c r="G79" s="129">
        <v>62.8</v>
      </c>
      <c r="H79" s="125"/>
      <c r="I79" s="130" t="s">
        <v>10</v>
      </c>
      <c r="J79" s="131">
        <v>72.1</v>
      </c>
      <c r="K79" s="125">
        <v>74.2</v>
      </c>
      <c r="L79" s="125">
        <v>69.3</v>
      </c>
      <c r="M79" s="125">
        <v>74.7</v>
      </c>
      <c r="N79" s="125">
        <v>68.3</v>
      </c>
      <c r="O79" s="129">
        <v>76.6</v>
      </c>
      <c r="Q79" s="128" t="str">
        <f t="shared" si="10"/>
        <v>D/%</v>
      </c>
      <c r="R79" s="127">
        <f t="shared" si="11"/>
        <v>-14.199999999999996</v>
      </c>
      <c r="S79" s="127">
        <f t="shared" si="11"/>
        <v>-10.800000000000004</v>
      </c>
      <c r="T79" s="127">
        <f t="shared" si="11"/>
        <v>-14.199999999999996</v>
      </c>
      <c r="U79" s="127">
        <f t="shared" si="11"/>
        <v>-10.299999999999997</v>
      </c>
      <c r="V79" s="127">
        <f t="shared" si="11"/>
        <v>-11.899999999999999</v>
      </c>
      <c r="W79" s="127">
        <f t="shared" si="11"/>
        <v>-13.799999999999997</v>
      </c>
      <c r="Y79" s="130"/>
      <c r="Z79" s="131"/>
      <c r="AA79" s="125"/>
      <c r="AB79" s="125"/>
      <c r="AC79" s="125"/>
      <c r="AD79" s="125"/>
      <c r="AE79" s="129"/>
      <c r="AF79" s="125"/>
      <c r="AG79" s="130"/>
      <c r="AH79" s="131"/>
      <c r="AI79" s="125"/>
      <c r="AJ79" s="125"/>
      <c r="AK79" s="125"/>
      <c r="AL79" s="125"/>
      <c r="AM79" s="129"/>
      <c r="AP79" s="127"/>
      <c r="AQ79" s="127"/>
      <c r="AR79" s="127"/>
      <c r="AS79" s="127"/>
      <c r="AT79" s="127"/>
      <c r="AU79" s="127"/>
    </row>
    <row r="80" spans="1:47" ht="12.75">
      <c r="A80" s="130" t="s">
        <v>11</v>
      </c>
      <c r="B80" s="131">
        <v>4.2</v>
      </c>
      <c r="C80" s="125">
        <v>5</v>
      </c>
      <c r="D80" s="125">
        <v>3.8</v>
      </c>
      <c r="E80" s="125">
        <v>5.3</v>
      </c>
      <c r="F80" s="125">
        <v>4</v>
      </c>
      <c r="G80" s="129">
        <v>5.1</v>
      </c>
      <c r="H80" s="125"/>
      <c r="I80" s="130" t="s">
        <v>11</v>
      </c>
      <c r="J80" s="131">
        <v>7.6</v>
      </c>
      <c r="K80" s="125">
        <v>8.2</v>
      </c>
      <c r="L80" s="125">
        <v>7.1</v>
      </c>
      <c r="M80" s="125">
        <v>8.3</v>
      </c>
      <c r="N80" s="125">
        <v>6.8</v>
      </c>
      <c r="O80" s="129">
        <v>8.4</v>
      </c>
      <c r="Q80" s="128" t="str">
        <f t="shared" si="10"/>
        <v>C/dB</v>
      </c>
      <c r="R80" s="127">
        <f t="shared" si="11"/>
        <v>-3.3999999999999995</v>
      </c>
      <c r="S80" s="127">
        <f t="shared" si="11"/>
        <v>-3.1999999999999993</v>
      </c>
      <c r="T80" s="127">
        <f t="shared" si="11"/>
        <v>-3.3</v>
      </c>
      <c r="U80" s="127">
        <f t="shared" si="11"/>
        <v>-3.000000000000001</v>
      </c>
      <c r="V80" s="127">
        <f t="shared" si="11"/>
        <v>-2.8</v>
      </c>
      <c r="W80" s="127">
        <f t="shared" si="11"/>
        <v>-3.3000000000000007</v>
      </c>
      <c r="Y80" s="130"/>
      <c r="Z80" s="131"/>
      <c r="AA80" s="125"/>
      <c r="AB80" s="125"/>
      <c r="AC80" s="125"/>
      <c r="AD80" s="125"/>
      <c r="AE80" s="129"/>
      <c r="AF80" s="125"/>
      <c r="AG80" s="130"/>
      <c r="AH80" s="131"/>
      <c r="AI80" s="125"/>
      <c r="AJ80" s="125"/>
      <c r="AK80" s="125"/>
      <c r="AL80" s="125"/>
      <c r="AM80" s="129"/>
      <c r="AP80" s="127"/>
      <c r="AQ80" s="127"/>
      <c r="AR80" s="127"/>
      <c r="AS80" s="127"/>
      <c r="AT80" s="127"/>
      <c r="AU80" s="127"/>
    </row>
    <row r="81" spans="1:47" ht="12.75">
      <c r="A81" s="130" t="s">
        <v>12</v>
      </c>
      <c r="B81" s="131">
        <v>60.2</v>
      </c>
      <c r="C81" s="125">
        <v>53.1</v>
      </c>
      <c r="D81" s="125">
        <v>64.1</v>
      </c>
      <c r="E81" s="125">
        <v>51.3</v>
      </c>
      <c r="F81" s="125">
        <v>61.9</v>
      </c>
      <c r="G81" s="129">
        <v>53.7</v>
      </c>
      <c r="H81" s="125"/>
      <c r="I81" s="130" t="s">
        <v>12</v>
      </c>
      <c r="J81" s="131">
        <v>39.7</v>
      </c>
      <c r="K81" s="125">
        <v>36.1</v>
      </c>
      <c r="L81" s="125">
        <v>43.1</v>
      </c>
      <c r="M81" s="125">
        <v>34.9</v>
      </c>
      <c r="N81" s="125">
        <v>43.2</v>
      </c>
      <c r="O81" s="129">
        <v>35.4</v>
      </c>
      <c r="Q81" s="128" t="str">
        <f t="shared" si="10"/>
        <v>TS/ms</v>
      </c>
      <c r="R81" s="127">
        <f t="shared" si="11"/>
        <v>20.5</v>
      </c>
      <c r="S81" s="127">
        <f t="shared" si="11"/>
        <v>17</v>
      </c>
      <c r="T81" s="127">
        <f t="shared" si="11"/>
        <v>20.999999999999993</v>
      </c>
      <c r="U81" s="127">
        <f t="shared" si="11"/>
        <v>16.4</v>
      </c>
      <c r="V81" s="127">
        <f t="shared" si="11"/>
        <v>18.699999999999996</v>
      </c>
      <c r="W81" s="127">
        <f t="shared" si="11"/>
        <v>18.300000000000004</v>
      </c>
      <c r="Y81" s="130"/>
      <c r="Z81" s="131"/>
      <c r="AA81" s="125"/>
      <c r="AB81" s="125"/>
      <c r="AC81" s="125"/>
      <c r="AD81" s="125"/>
      <c r="AE81" s="129"/>
      <c r="AF81" s="125"/>
      <c r="AG81" s="130"/>
      <c r="AH81" s="131"/>
      <c r="AI81" s="125"/>
      <c r="AJ81" s="125"/>
      <c r="AK81" s="125"/>
      <c r="AL81" s="125"/>
      <c r="AM81" s="129"/>
      <c r="AP81" s="127"/>
      <c r="AQ81" s="127"/>
      <c r="AR81" s="127"/>
      <c r="AS81" s="127"/>
      <c r="AT81" s="127"/>
      <c r="AU81" s="127"/>
    </row>
    <row r="82" spans="1:47" ht="12.75">
      <c r="A82" s="130" t="s">
        <v>13</v>
      </c>
      <c r="B82" s="131">
        <v>18.6</v>
      </c>
      <c r="C82" s="125">
        <v>19.8</v>
      </c>
      <c r="D82" s="125">
        <v>18.4</v>
      </c>
      <c r="E82" s="125">
        <v>19.6</v>
      </c>
      <c r="F82" s="125">
        <v>18.9</v>
      </c>
      <c r="G82" s="129">
        <v>19.8</v>
      </c>
      <c r="H82" s="125"/>
      <c r="I82" s="130" t="s">
        <v>13</v>
      </c>
      <c r="J82" s="131">
        <v>16.9</v>
      </c>
      <c r="K82" s="125">
        <v>18.8</v>
      </c>
      <c r="L82" s="125">
        <v>17.2</v>
      </c>
      <c r="M82" s="125">
        <v>18.2</v>
      </c>
      <c r="N82" s="125">
        <v>17.3</v>
      </c>
      <c r="O82" s="129">
        <v>18.9</v>
      </c>
      <c r="Q82" s="128" t="str">
        <f t="shared" si="10"/>
        <v>G/dB</v>
      </c>
      <c r="R82" s="127">
        <f t="shared" si="11"/>
        <v>1.7000000000000028</v>
      </c>
      <c r="S82" s="127">
        <f t="shared" si="11"/>
        <v>1</v>
      </c>
      <c r="T82" s="127">
        <f t="shared" si="11"/>
        <v>1.1999999999999993</v>
      </c>
      <c r="U82" s="127">
        <f t="shared" si="11"/>
        <v>1.4000000000000021</v>
      </c>
      <c r="V82" s="127">
        <f t="shared" si="11"/>
        <v>1.5999999999999979</v>
      </c>
      <c r="W82" s="127">
        <f t="shared" si="11"/>
        <v>0.9000000000000021</v>
      </c>
      <c r="Y82" s="130"/>
      <c r="Z82" s="131"/>
      <c r="AA82" s="125"/>
      <c r="AB82" s="125"/>
      <c r="AC82" s="125"/>
      <c r="AD82" s="125"/>
      <c r="AE82" s="129"/>
      <c r="AF82" s="125"/>
      <c r="AG82" s="130"/>
      <c r="AH82" s="131"/>
      <c r="AI82" s="125"/>
      <c r="AJ82" s="125"/>
      <c r="AK82" s="125"/>
      <c r="AL82" s="125"/>
      <c r="AM82" s="129"/>
      <c r="AP82" s="127"/>
      <c r="AQ82" s="127"/>
      <c r="AR82" s="127"/>
      <c r="AS82" s="127"/>
      <c r="AT82" s="127"/>
      <c r="AU82" s="127"/>
    </row>
    <row r="83" spans="1:47" ht="12.75">
      <c r="A83" s="130" t="s">
        <v>14</v>
      </c>
      <c r="B83" s="131">
        <v>26.4</v>
      </c>
      <c r="C83" s="125">
        <v>22.7</v>
      </c>
      <c r="D83" s="125">
        <v>26.9</v>
      </c>
      <c r="E83" s="125">
        <v>24.6</v>
      </c>
      <c r="F83" s="125">
        <v>24.3</v>
      </c>
      <c r="G83" s="129">
        <v>24</v>
      </c>
      <c r="H83" s="125"/>
      <c r="I83" s="130" t="s">
        <v>14</v>
      </c>
      <c r="J83" s="131">
        <v>21.3</v>
      </c>
      <c r="K83" s="125">
        <v>22.4</v>
      </c>
      <c r="L83" s="125">
        <v>24</v>
      </c>
      <c r="M83" s="125">
        <v>18.2</v>
      </c>
      <c r="N83" s="125">
        <v>24.3</v>
      </c>
      <c r="O83" s="129">
        <v>23.5</v>
      </c>
      <c r="Q83" s="128" t="str">
        <f t="shared" si="10"/>
        <v>LF/%</v>
      </c>
      <c r="R83" s="127">
        <f t="shared" si="11"/>
        <v>5.099999999999998</v>
      </c>
      <c r="S83" s="127">
        <f t="shared" si="11"/>
        <v>0.3000000000000007</v>
      </c>
      <c r="T83" s="127">
        <f t="shared" si="11"/>
        <v>2.8999999999999986</v>
      </c>
      <c r="U83" s="127">
        <f t="shared" si="11"/>
        <v>6.400000000000002</v>
      </c>
      <c r="V83" s="127">
        <f t="shared" si="11"/>
        <v>0</v>
      </c>
      <c r="W83" s="127">
        <f t="shared" si="11"/>
        <v>0.5</v>
      </c>
      <c r="Y83" s="130"/>
      <c r="Z83" s="131"/>
      <c r="AA83" s="125"/>
      <c r="AB83" s="125"/>
      <c r="AC83" s="125"/>
      <c r="AD83" s="125"/>
      <c r="AE83" s="129"/>
      <c r="AF83" s="125"/>
      <c r="AG83" s="130"/>
      <c r="AH83" s="131"/>
      <c r="AI83" s="125"/>
      <c r="AJ83" s="125"/>
      <c r="AK83" s="125"/>
      <c r="AL83" s="125"/>
      <c r="AM83" s="129"/>
      <c r="AP83" s="127"/>
      <c r="AQ83" s="127"/>
      <c r="AR83" s="127"/>
      <c r="AS83" s="127"/>
      <c r="AT83" s="127"/>
      <c r="AU83" s="127"/>
    </row>
    <row r="84" spans="1:47" ht="12.75">
      <c r="A84" s="130" t="s">
        <v>15</v>
      </c>
      <c r="B84" s="131">
        <v>37.8</v>
      </c>
      <c r="C84" s="125">
        <v>32.8</v>
      </c>
      <c r="D84" s="125">
        <v>40.3</v>
      </c>
      <c r="E84" s="125">
        <v>34.8</v>
      </c>
      <c r="F84" s="125">
        <v>36.8</v>
      </c>
      <c r="G84" s="129">
        <v>34.8</v>
      </c>
      <c r="H84" s="125"/>
      <c r="I84" s="130" t="s">
        <v>15</v>
      </c>
      <c r="J84" s="131">
        <v>31.5</v>
      </c>
      <c r="K84" s="125">
        <v>31.7</v>
      </c>
      <c r="L84" s="125">
        <v>36.8</v>
      </c>
      <c r="M84" s="125">
        <v>27.4</v>
      </c>
      <c r="N84" s="125">
        <v>36.6</v>
      </c>
      <c r="O84" s="129">
        <v>33.8</v>
      </c>
      <c r="Q84" s="128" t="str">
        <f t="shared" si="10"/>
        <v>LFC/%</v>
      </c>
      <c r="R84" s="127">
        <f t="shared" si="11"/>
        <v>6.299999999999997</v>
      </c>
      <c r="S84" s="127">
        <f t="shared" si="11"/>
        <v>1.0999999999999979</v>
      </c>
      <c r="T84" s="127">
        <f t="shared" si="11"/>
        <v>3.5</v>
      </c>
      <c r="U84" s="127">
        <f t="shared" si="11"/>
        <v>7.399999999999999</v>
      </c>
      <c r="V84" s="127">
        <f t="shared" si="11"/>
        <v>0.19999999999999574</v>
      </c>
      <c r="W84" s="127">
        <f t="shared" si="11"/>
        <v>1</v>
      </c>
      <c r="Y84" s="130"/>
      <c r="Z84" s="131"/>
      <c r="AA84" s="125"/>
      <c r="AB84" s="125"/>
      <c r="AC84" s="125"/>
      <c r="AD84" s="125"/>
      <c r="AE84" s="129"/>
      <c r="AF84" s="125"/>
      <c r="AG84" s="130"/>
      <c r="AH84" s="131"/>
      <c r="AI84" s="125"/>
      <c r="AJ84" s="125"/>
      <c r="AK84" s="125"/>
      <c r="AL84" s="125"/>
      <c r="AM84" s="129"/>
      <c r="AP84" s="127"/>
      <c r="AQ84" s="127"/>
      <c r="AR84" s="127"/>
      <c r="AS84" s="127"/>
      <c r="AT84" s="127"/>
      <c r="AU84" s="127"/>
    </row>
    <row r="85" spans="1:47" ht="12.75">
      <c r="A85" s="134" t="s">
        <v>16</v>
      </c>
      <c r="B85" s="135">
        <v>0.3</v>
      </c>
      <c r="C85" s="132">
        <v>0.39</v>
      </c>
      <c r="D85" s="132">
        <v>0.26</v>
      </c>
      <c r="E85" s="132">
        <v>0.33</v>
      </c>
      <c r="F85" s="132">
        <v>0.32</v>
      </c>
      <c r="G85" s="133">
        <v>0.36</v>
      </c>
      <c r="H85" s="125"/>
      <c r="I85" s="134" t="s">
        <v>16</v>
      </c>
      <c r="J85" s="135">
        <v>0.36</v>
      </c>
      <c r="K85" s="132">
        <v>0.41</v>
      </c>
      <c r="L85" s="132">
        <v>0.29</v>
      </c>
      <c r="M85" s="132">
        <v>0.39</v>
      </c>
      <c r="N85" s="132">
        <v>0.3</v>
      </c>
      <c r="O85" s="133">
        <v>0.42</v>
      </c>
      <c r="Q85" s="128" t="str">
        <f t="shared" si="10"/>
        <v>IACC</v>
      </c>
      <c r="R85" s="127">
        <f t="shared" si="11"/>
        <v>-0.06</v>
      </c>
      <c r="S85" s="127">
        <f t="shared" si="11"/>
        <v>-0.019999999999999962</v>
      </c>
      <c r="T85" s="127">
        <f t="shared" si="11"/>
        <v>-0.02999999999999997</v>
      </c>
      <c r="U85" s="127">
        <f t="shared" si="11"/>
        <v>-0.06</v>
      </c>
      <c r="V85" s="127">
        <f t="shared" si="11"/>
        <v>0.020000000000000018</v>
      </c>
      <c r="W85" s="127">
        <f t="shared" si="11"/>
        <v>-0.06</v>
      </c>
      <c r="Y85" s="134"/>
      <c r="Z85" s="135"/>
      <c r="AA85" s="132"/>
      <c r="AB85" s="132"/>
      <c r="AC85" s="132"/>
      <c r="AD85" s="132"/>
      <c r="AE85" s="133"/>
      <c r="AF85" s="125"/>
      <c r="AG85" s="134"/>
      <c r="AH85" s="135"/>
      <c r="AI85" s="132"/>
      <c r="AJ85" s="132"/>
      <c r="AK85" s="132"/>
      <c r="AL85" s="132"/>
      <c r="AM85" s="133"/>
      <c r="AP85" s="127"/>
      <c r="AQ85" s="127"/>
      <c r="AR85" s="127"/>
      <c r="AS85" s="127"/>
      <c r="AT85" s="127"/>
      <c r="AU85" s="127"/>
    </row>
    <row r="86" spans="5:39" ht="12.75">
      <c r="E86" s="136"/>
      <c r="F86" s="136"/>
      <c r="G86" s="136"/>
      <c r="H86" s="136"/>
      <c r="M86" s="136"/>
      <c r="N86" s="136"/>
      <c r="O86" s="136"/>
      <c r="AC86" s="136"/>
      <c r="AD86" s="136"/>
      <c r="AE86" s="136"/>
      <c r="AF86" s="136"/>
      <c r="AK86" s="136"/>
      <c r="AL86" s="136"/>
      <c r="AM86" s="136"/>
    </row>
    <row r="87" spans="5:39" ht="12.75">
      <c r="E87" s="136"/>
      <c r="F87" s="136"/>
      <c r="G87" s="136"/>
      <c r="H87" s="136"/>
      <c r="M87" s="136"/>
      <c r="N87" s="136"/>
      <c r="O87" s="136"/>
      <c r="AC87" s="136"/>
      <c r="AD87" s="136"/>
      <c r="AE87" s="136"/>
      <c r="AF87" s="136"/>
      <c r="AK87" s="136"/>
      <c r="AL87" s="136"/>
      <c r="AM87" s="136"/>
    </row>
    <row r="88" spans="1:39" ht="12.75">
      <c r="A88" s="146"/>
      <c r="E88" s="136"/>
      <c r="F88" s="136"/>
      <c r="G88" s="136"/>
      <c r="H88" s="136"/>
      <c r="I88" s="146"/>
      <c r="M88" s="136"/>
      <c r="N88" s="136"/>
      <c r="O88" s="136"/>
      <c r="Y88" s="146"/>
      <c r="AC88" s="136"/>
      <c r="AD88" s="136"/>
      <c r="AE88" s="136"/>
      <c r="AF88" s="136"/>
      <c r="AG88" s="146"/>
      <c r="AK88" s="136"/>
      <c r="AL88" s="136"/>
      <c r="AM88" s="136"/>
    </row>
    <row r="89" spans="5:39" ht="12.75">
      <c r="E89" s="136"/>
      <c r="F89" s="136"/>
      <c r="G89" s="136"/>
      <c r="H89" s="136"/>
      <c r="M89" s="136"/>
      <c r="N89" s="136"/>
      <c r="O89" s="136"/>
      <c r="AC89" s="136"/>
      <c r="AD89" s="136"/>
      <c r="AE89" s="136"/>
      <c r="AF89" s="136"/>
      <c r="AK89" s="136"/>
      <c r="AL89" s="136"/>
      <c r="AM89" s="136"/>
    </row>
    <row r="90" spans="5:39" ht="12.75">
      <c r="E90" s="136"/>
      <c r="F90" s="136"/>
      <c r="G90" s="136"/>
      <c r="H90" s="136"/>
      <c r="M90" s="136"/>
      <c r="N90" s="136"/>
      <c r="O90" s="136"/>
      <c r="AC90" s="136"/>
      <c r="AD90" s="136"/>
      <c r="AE90" s="136"/>
      <c r="AF90" s="136"/>
      <c r="AK90" s="136"/>
      <c r="AL90" s="136"/>
      <c r="AM90" s="136"/>
    </row>
    <row r="91" spans="5:39" ht="12.75">
      <c r="E91" s="136"/>
      <c r="F91" s="136"/>
      <c r="G91" s="136"/>
      <c r="H91" s="136"/>
      <c r="M91" s="136"/>
      <c r="N91" s="136"/>
      <c r="O91" s="136"/>
      <c r="AC91" s="136"/>
      <c r="AD91" s="136"/>
      <c r="AE91" s="136"/>
      <c r="AF91" s="136"/>
      <c r="AK91" s="136"/>
      <c r="AL91" s="136"/>
      <c r="AM91" s="136"/>
    </row>
    <row r="92" spans="5:39" ht="12.75">
      <c r="E92" s="136"/>
      <c r="F92" s="136"/>
      <c r="G92" s="136"/>
      <c r="H92" s="136"/>
      <c r="M92" s="136"/>
      <c r="N92" s="136"/>
      <c r="O92" s="136"/>
      <c r="AC92" s="136"/>
      <c r="AD92" s="136"/>
      <c r="AE92" s="136"/>
      <c r="AF92" s="136"/>
      <c r="AK92" s="136"/>
      <c r="AL92" s="136"/>
      <c r="AM92" s="136"/>
    </row>
    <row r="93" spans="5:39" ht="12.75">
      <c r="E93" s="136"/>
      <c r="F93" s="136"/>
      <c r="G93" s="136"/>
      <c r="H93" s="136"/>
      <c r="M93" s="136"/>
      <c r="N93" s="136"/>
      <c r="O93" s="136"/>
      <c r="AC93" s="136"/>
      <c r="AD93" s="136"/>
      <c r="AE93" s="136"/>
      <c r="AF93" s="136"/>
      <c r="AK93" s="136"/>
      <c r="AL93" s="136"/>
      <c r="AM93" s="136"/>
    </row>
  </sheetData>
  <printOptions/>
  <pageMargins left="0.75" right="0.75" top="1" bottom="1" header="0.4921259845" footer="0.4921259845"/>
  <pageSetup fitToHeight="1" fitToWidth="1" horizontalDpi="300" verticalDpi="300" orientation="portrait" paperSize="9" scale="54" r:id="rId1"/>
  <headerFooter alignWithMargins="0">
    <oddHeader>&amp;C&amp;A</oddHeader>
    <oddFooter>&amp;LPTB 1.401&amp;CSeite &amp;P&amp;R&amp;D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W93"/>
  <sheetViews>
    <sheetView zoomScale="75" zoomScaleNormal="75" workbookViewId="0" topLeftCell="A1">
      <selection activeCell="A1" sqref="A1"/>
    </sheetView>
  </sheetViews>
  <sheetFormatPr defaultColWidth="11.5546875" defaultRowHeight="15"/>
  <cols>
    <col min="1" max="1" width="7.77734375" style="128" customWidth="1"/>
    <col min="2" max="16" width="6.77734375" style="128" customWidth="1"/>
    <col min="17" max="17" width="11.5546875" style="128" customWidth="1" collapsed="1"/>
    <col min="18" max="16384" width="11.5546875" style="128" customWidth="1"/>
  </cols>
  <sheetData>
    <row r="1" spans="1:10" ht="13.5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2" ht="13.5" thickBot="1">
      <c r="A2" s="3"/>
      <c r="B2" s="4"/>
    </row>
    <row r="4" ht="12.75">
      <c r="H4" s="231"/>
    </row>
    <row r="5" spans="1:7" ht="12.75">
      <c r="A5" s="150"/>
      <c r="B5" s="151"/>
      <c r="C5" s="151"/>
      <c r="D5" s="152"/>
      <c r="G5" s="150"/>
    </row>
    <row r="6" spans="1:3" ht="12" customHeight="1">
      <c r="A6" s="153"/>
      <c r="B6" s="151"/>
      <c r="C6" s="151"/>
    </row>
    <row r="7" spans="2:3" ht="12.75">
      <c r="B7" s="151"/>
      <c r="C7" s="151"/>
    </row>
    <row r="8" spans="1:2" ht="12.75">
      <c r="A8" s="150"/>
      <c r="B8" s="151"/>
    </row>
    <row r="12" spans="1:2" ht="12.75">
      <c r="A12" s="82"/>
      <c r="B12" s="82"/>
    </row>
    <row r="14" spans="1:17" ht="12.75">
      <c r="A14" s="128" t="s">
        <v>27</v>
      </c>
      <c r="I14" s="128" t="s">
        <v>28</v>
      </c>
      <c r="Q14" s="128" t="s">
        <v>32</v>
      </c>
    </row>
    <row r="15" spans="1:18" ht="12.75">
      <c r="A15" s="155" t="s">
        <v>0</v>
      </c>
      <c r="B15" s="156" t="s">
        <v>1</v>
      </c>
      <c r="E15" s="136"/>
      <c r="F15" s="136"/>
      <c r="G15" s="136"/>
      <c r="H15" s="136"/>
      <c r="I15" s="155" t="s">
        <v>0</v>
      </c>
      <c r="J15" s="156" t="s">
        <v>1</v>
      </c>
      <c r="M15" s="136"/>
      <c r="N15" s="136"/>
      <c r="O15" s="136"/>
      <c r="Q15" s="128" t="str">
        <f>+A15</f>
        <v>125 Hz</v>
      </c>
      <c r="R15" s="128" t="str">
        <f>+B15</f>
        <v>octave</v>
      </c>
    </row>
    <row r="16" spans="1:23" ht="12.75">
      <c r="A16" s="142"/>
      <c r="B16" s="140" t="s">
        <v>2</v>
      </c>
      <c r="C16" s="140" t="s">
        <v>3</v>
      </c>
      <c r="D16" s="139" t="s">
        <v>4</v>
      </c>
      <c r="E16" s="139" t="s">
        <v>5</v>
      </c>
      <c r="F16" s="140" t="s">
        <v>6</v>
      </c>
      <c r="G16" s="139" t="s">
        <v>7</v>
      </c>
      <c r="H16" s="141"/>
      <c r="I16" s="142"/>
      <c r="J16" s="140" t="s">
        <v>2</v>
      </c>
      <c r="K16" s="140" t="s">
        <v>3</v>
      </c>
      <c r="L16" s="139" t="s">
        <v>4</v>
      </c>
      <c r="M16" s="139" t="s">
        <v>5</v>
      </c>
      <c r="N16" s="140" t="s">
        <v>6</v>
      </c>
      <c r="O16" s="139" t="s">
        <v>7</v>
      </c>
      <c r="P16" s="157"/>
      <c r="Q16" s="128">
        <f>+A16</f>
        <v>0</v>
      </c>
      <c r="R16" s="128" t="str">
        <f>+B16</f>
        <v>S1R1</v>
      </c>
      <c r="S16" s="128" t="str">
        <f>+C16</f>
        <v>S1R2</v>
      </c>
      <c r="T16" s="128" t="str">
        <f>+D16</f>
        <v>S1R3</v>
      </c>
      <c r="U16" s="128" t="str">
        <f>+E16</f>
        <v>S2R1</v>
      </c>
      <c r="V16" s="128" t="str">
        <f>+F16</f>
        <v>S2R2</v>
      </c>
      <c r="W16" s="128" t="str">
        <f>+G16</f>
        <v>S2R3</v>
      </c>
    </row>
    <row r="17" spans="1:23" ht="12.75">
      <c r="A17" s="130" t="s">
        <v>8</v>
      </c>
      <c r="B17" s="127">
        <v>0.61</v>
      </c>
      <c r="C17" s="127">
        <v>0.64</v>
      </c>
      <c r="D17" s="127">
        <v>0.66</v>
      </c>
      <c r="E17" s="127">
        <v>0.58</v>
      </c>
      <c r="F17" s="127">
        <v>0.51</v>
      </c>
      <c r="G17" s="127">
        <v>0.54</v>
      </c>
      <c r="H17" s="181"/>
      <c r="I17" s="182" t="s">
        <v>8</v>
      </c>
      <c r="J17" s="127">
        <v>0.55</v>
      </c>
      <c r="K17" s="127">
        <v>0.64</v>
      </c>
      <c r="L17" s="127">
        <v>0.51</v>
      </c>
      <c r="M17" s="127">
        <v>0.6</v>
      </c>
      <c r="N17" s="127">
        <v>0.59</v>
      </c>
      <c r="O17" s="127">
        <v>0.54</v>
      </c>
      <c r="P17" s="158"/>
      <c r="Q17" s="128" t="str">
        <f aca="true" t="shared" si="0" ref="Q17:Q25">+A17</f>
        <v>T30/s</v>
      </c>
      <c r="R17" s="127">
        <f aca="true" t="shared" si="1" ref="R17:W25">+B17-J17</f>
        <v>0.05999999999999994</v>
      </c>
      <c r="S17" s="127">
        <f t="shared" si="1"/>
        <v>0</v>
      </c>
      <c r="T17" s="127">
        <f t="shared" si="1"/>
        <v>0.15000000000000002</v>
      </c>
      <c r="U17" s="127">
        <f t="shared" si="1"/>
        <v>-0.020000000000000018</v>
      </c>
      <c r="V17" s="127">
        <f t="shared" si="1"/>
        <v>-0.07999999999999996</v>
      </c>
      <c r="W17" s="127">
        <f t="shared" si="1"/>
        <v>0</v>
      </c>
    </row>
    <row r="18" spans="1:23" ht="12.75">
      <c r="A18" s="130" t="s">
        <v>9</v>
      </c>
      <c r="B18" s="127">
        <v>0.65</v>
      </c>
      <c r="C18" s="127">
        <v>0.62</v>
      </c>
      <c r="D18" s="127">
        <v>0.7</v>
      </c>
      <c r="E18" s="127">
        <v>0.57</v>
      </c>
      <c r="F18" s="127">
        <v>0.65</v>
      </c>
      <c r="G18" s="127">
        <v>0.59</v>
      </c>
      <c r="H18" s="181"/>
      <c r="I18" s="182" t="s">
        <v>9</v>
      </c>
      <c r="J18" s="127">
        <v>0.63</v>
      </c>
      <c r="K18" s="127">
        <v>0.6</v>
      </c>
      <c r="L18" s="127">
        <v>0.68</v>
      </c>
      <c r="M18" s="127">
        <v>0.54</v>
      </c>
      <c r="N18" s="127">
        <v>0.64</v>
      </c>
      <c r="O18" s="127">
        <v>0.57</v>
      </c>
      <c r="P18" s="158"/>
      <c r="Q18" s="128" t="str">
        <f t="shared" si="0"/>
        <v>EDT/s</v>
      </c>
      <c r="R18" s="127">
        <f t="shared" si="1"/>
        <v>0.020000000000000018</v>
      </c>
      <c r="S18" s="127">
        <f t="shared" si="1"/>
        <v>0.020000000000000018</v>
      </c>
      <c r="T18" s="127">
        <f t="shared" si="1"/>
        <v>0.019999999999999907</v>
      </c>
      <c r="U18" s="127">
        <f t="shared" si="1"/>
        <v>0.029999999999999916</v>
      </c>
      <c r="V18" s="127">
        <f t="shared" si="1"/>
        <v>0.010000000000000009</v>
      </c>
      <c r="W18" s="127">
        <f t="shared" si="1"/>
        <v>0.020000000000000018</v>
      </c>
    </row>
    <row r="19" spans="1:23" ht="12.75">
      <c r="A19" s="130" t="s">
        <v>10</v>
      </c>
      <c r="B19" s="127">
        <v>67.24</v>
      </c>
      <c r="C19" s="127">
        <v>69.49</v>
      </c>
      <c r="D19" s="127">
        <v>62.78</v>
      </c>
      <c r="E19" s="127">
        <v>72.61</v>
      </c>
      <c r="F19" s="127">
        <v>66.4</v>
      </c>
      <c r="G19" s="127">
        <v>70.81</v>
      </c>
      <c r="H19" s="181"/>
      <c r="I19" s="182" t="s">
        <v>10</v>
      </c>
      <c r="J19" s="127">
        <v>68.33</v>
      </c>
      <c r="K19" s="127">
        <v>70.53</v>
      </c>
      <c r="L19" s="127">
        <v>64.51</v>
      </c>
      <c r="M19" s="127">
        <v>74.23</v>
      </c>
      <c r="N19" s="127">
        <v>67.05</v>
      </c>
      <c r="O19" s="127">
        <v>71.56</v>
      </c>
      <c r="P19" s="158"/>
      <c r="Q19" s="128" t="str">
        <f t="shared" si="0"/>
        <v>D/%</v>
      </c>
      <c r="R19" s="127">
        <f t="shared" si="1"/>
        <v>-1.0900000000000034</v>
      </c>
      <c r="S19" s="127">
        <f t="shared" si="1"/>
        <v>-1.0400000000000063</v>
      </c>
      <c r="T19" s="127">
        <f t="shared" si="1"/>
        <v>-1.730000000000004</v>
      </c>
      <c r="U19" s="127">
        <f t="shared" si="1"/>
        <v>-1.6200000000000045</v>
      </c>
      <c r="V19" s="127">
        <f t="shared" si="1"/>
        <v>-0.6499999999999915</v>
      </c>
      <c r="W19" s="127">
        <f t="shared" si="1"/>
        <v>-0.75</v>
      </c>
    </row>
    <row r="20" spans="1:23" ht="12.75">
      <c r="A20" s="130" t="s">
        <v>11</v>
      </c>
      <c r="B20" s="127">
        <v>7.15</v>
      </c>
      <c r="C20" s="127">
        <v>7.13</v>
      </c>
      <c r="D20" s="127">
        <v>6.03</v>
      </c>
      <c r="E20" s="127">
        <v>8.02</v>
      </c>
      <c r="F20" s="127">
        <v>6.88</v>
      </c>
      <c r="G20" s="127">
        <v>7.91</v>
      </c>
      <c r="H20" s="181"/>
      <c r="I20" s="182" t="s">
        <v>11</v>
      </c>
      <c r="J20" s="127">
        <v>7.44</v>
      </c>
      <c r="K20" s="127">
        <v>7.53</v>
      </c>
      <c r="L20" s="127">
        <v>6.41</v>
      </c>
      <c r="M20" s="127">
        <v>8.54</v>
      </c>
      <c r="N20" s="127">
        <v>7.09</v>
      </c>
      <c r="O20" s="127">
        <v>8.1</v>
      </c>
      <c r="P20" s="158"/>
      <c r="Q20" s="128" t="str">
        <f t="shared" si="0"/>
        <v>C/dB</v>
      </c>
      <c r="R20" s="127">
        <f t="shared" si="1"/>
        <v>-0.29000000000000004</v>
      </c>
      <c r="S20" s="127">
        <f t="shared" si="1"/>
        <v>-0.40000000000000036</v>
      </c>
      <c r="T20" s="127">
        <f t="shared" si="1"/>
        <v>-0.3799999999999999</v>
      </c>
      <c r="U20" s="127">
        <f t="shared" si="1"/>
        <v>-0.5199999999999996</v>
      </c>
      <c r="V20" s="127">
        <f t="shared" si="1"/>
        <v>-0.20999999999999996</v>
      </c>
      <c r="W20" s="127">
        <f t="shared" si="1"/>
        <v>-0.1899999999999995</v>
      </c>
    </row>
    <row r="21" spans="1:23" ht="12.75">
      <c r="A21" s="130" t="s">
        <v>12</v>
      </c>
      <c r="B21" s="127">
        <v>40.63</v>
      </c>
      <c r="C21" s="127">
        <v>36.45</v>
      </c>
      <c r="D21" s="127">
        <v>46.7</v>
      </c>
      <c r="E21" s="127">
        <v>34.44</v>
      </c>
      <c r="F21" s="127">
        <v>41.76</v>
      </c>
      <c r="G21" s="127">
        <v>35.38</v>
      </c>
      <c r="H21" s="181"/>
      <c r="I21" s="182" t="s">
        <v>12</v>
      </c>
      <c r="J21" s="127">
        <v>39.26</v>
      </c>
      <c r="K21" s="127">
        <v>35.21</v>
      </c>
      <c r="L21" s="127">
        <v>44.75</v>
      </c>
      <c r="M21" s="127">
        <v>32.67</v>
      </c>
      <c r="N21" s="127">
        <v>41.16</v>
      </c>
      <c r="O21" s="127">
        <v>34.97</v>
      </c>
      <c r="P21" s="158"/>
      <c r="Q21" s="128" t="str">
        <f t="shared" si="0"/>
        <v>TS/ms</v>
      </c>
      <c r="R21" s="127">
        <f t="shared" si="1"/>
        <v>1.3700000000000045</v>
      </c>
      <c r="S21" s="127">
        <f t="shared" si="1"/>
        <v>1.240000000000002</v>
      </c>
      <c r="T21" s="127">
        <f t="shared" si="1"/>
        <v>1.9500000000000028</v>
      </c>
      <c r="U21" s="127">
        <f t="shared" si="1"/>
        <v>1.769999999999996</v>
      </c>
      <c r="V21" s="127">
        <f t="shared" si="1"/>
        <v>0.6000000000000014</v>
      </c>
      <c r="W21" s="127">
        <f t="shared" si="1"/>
        <v>0.4100000000000037</v>
      </c>
    </row>
    <row r="22" spans="1:23" ht="12.75">
      <c r="A22" s="130" t="s">
        <v>13</v>
      </c>
      <c r="B22" s="127">
        <v>15.39</v>
      </c>
      <c r="C22" s="127">
        <v>16.14</v>
      </c>
      <c r="D22" s="127">
        <v>15.05</v>
      </c>
      <c r="E22" s="127">
        <v>16.76</v>
      </c>
      <c r="F22" s="127">
        <v>15.4</v>
      </c>
      <c r="G22" s="127">
        <v>16.81</v>
      </c>
      <c r="H22" s="181"/>
      <c r="I22" s="182" t="s">
        <v>13</v>
      </c>
      <c r="J22" s="127">
        <v>15.41</v>
      </c>
      <c r="K22" s="127">
        <v>16.35</v>
      </c>
      <c r="L22" s="127">
        <v>15.18</v>
      </c>
      <c r="M22" s="127">
        <v>16.83</v>
      </c>
      <c r="N22" s="127">
        <v>15.61</v>
      </c>
      <c r="O22" s="127">
        <v>16.97</v>
      </c>
      <c r="P22" s="158"/>
      <c r="Q22" s="128" t="str">
        <f t="shared" si="0"/>
        <v>G/dB</v>
      </c>
      <c r="R22" s="127">
        <f t="shared" si="1"/>
        <v>-0.019999999999999574</v>
      </c>
      <c r="S22" s="127">
        <f t="shared" si="1"/>
        <v>-0.21000000000000085</v>
      </c>
      <c r="T22" s="127">
        <f t="shared" si="1"/>
        <v>-0.129999999999999</v>
      </c>
      <c r="U22" s="127">
        <f t="shared" si="1"/>
        <v>-0.06999999999999673</v>
      </c>
      <c r="V22" s="127">
        <f t="shared" si="1"/>
        <v>-0.20999999999999908</v>
      </c>
      <c r="W22" s="127">
        <f t="shared" si="1"/>
        <v>-0.16000000000000014</v>
      </c>
    </row>
    <row r="23" spans="1:23" ht="12.75">
      <c r="A23" s="130" t="s">
        <v>14</v>
      </c>
      <c r="B23" s="127">
        <v>24.48</v>
      </c>
      <c r="C23" s="127">
        <v>10.52</v>
      </c>
      <c r="D23" s="127">
        <v>18.34</v>
      </c>
      <c r="E23" s="127">
        <v>12.89</v>
      </c>
      <c r="F23" s="127">
        <v>24.19</v>
      </c>
      <c r="G23" s="127">
        <v>16.59</v>
      </c>
      <c r="H23" s="181"/>
      <c r="I23" s="182" t="s">
        <v>14</v>
      </c>
      <c r="J23" s="127">
        <v>23.01</v>
      </c>
      <c r="K23" s="127">
        <v>10.9</v>
      </c>
      <c r="L23" s="127">
        <v>19.5</v>
      </c>
      <c r="M23" s="127">
        <v>15.21</v>
      </c>
      <c r="N23" s="127">
        <v>25.05</v>
      </c>
      <c r="O23" s="127">
        <v>17.77</v>
      </c>
      <c r="Q23" s="128" t="str">
        <f t="shared" si="0"/>
        <v>LF/%</v>
      </c>
      <c r="R23" s="127">
        <f t="shared" si="1"/>
        <v>1.4699999999999989</v>
      </c>
      <c r="S23" s="127">
        <f t="shared" si="1"/>
        <v>-0.3800000000000008</v>
      </c>
      <c r="T23" s="127">
        <f t="shared" si="1"/>
        <v>-1.1600000000000001</v>
      </c>
      <c r="U23" s="127">
        <f t="shared" si="1"/>
        <v>-2.3200000000000003</v>
      </c>
      <c r="V23" s="127">
        <f t="shared" si="1"/>
        <v>-0.8599999999999994</v>
      </c>
      <c r="W23" s="127">
        <f t="shared" si="1"/>
        <v>-1.1799999999999997</v>
      </c>
    </row>
    <row r="24" spans="1:23" ht="12.75">
      <c r="A24" s="130" t="s">
        <v>15</v>
      </c>
      <c r="B24" s="127"/>
      <c r="C24" s="127"/>
      <c r="D24" s="127"/>
      <c r="E24" s="127"/>
      <c r="F24" s="127"/>
      <c r="G24" s="127"/>
      <c r="H24" s="181"/>
      <c r="I24" s="182" t="s">
        <v>15</v>
      </c>
      <c r="J24" s="127"/>
      <c r="K24" s="127"/>
      <c r="L24" s="127"/>
      <c r="M24" s="127"/>
      <c r="N24" s="127"/>
      <c r="O24" s="127"/>
      <c r="Q24" s="128" t="str">
        <f t="shared" si="0"/>
        <v>LFC/%</v>
      </c>
      <c r="R24" s="127">
        <f t="shared" si="1"/>
        <v>0</v>
      </c>
      <c r="S24" s="127">
        <f t="shared" si="1"/>
        <v>0</v>
      </c>
      <c r="T24" s="127">
        <f t="shared" si="1"/>
        <v>0</v>
      </c>
      <c r="U24" s="127">
        <f t="shared" si="1"/>
        <v>0</v>
      </c>
      <c r="V24" s="127">
        <f t="shared" si="1"/>
        <v>0</v>
      </c>
      <c r="W24" s="127">
        <f t="shared" si="1"/>
        <v>0</v>
      </c>
    </row>
    <row r="25" spans="1:23" ht="12.75">
      <c r="A25" s="134" t="s">
        <v>16</v>
      </c>
      <c r="B25" s="127"/>
      <c r="C25" s="127"/>
      <c r="D25" s="127"/>
      <c r="E25" s="127"/>
      <c r="F25" s="127"/>
      <c r="G25" s="127"/>
      <c r="H25" s="181"/>
      <c r="I25" s="188" t="s">
        <v>16</v>
      </c>
      <c r="J25" s="127"/>
      <c r="K25" s="127"/>
      <c r="L25" s="127"/>
      <c r="M25" s="127"/>
      <c r="N25" s="127"/>
      <c r="O25" s="127"/>
      <c r="Q25" s="128" t="str">
        <f t="shared" si="0"/>
        <v>IACC</v>
      </c>
      <c r="R25" s="127">
        <f t="shared" si="1"/>
        <v>0</v>
      </c>
      <c r="S25" s="127">
        <f t="shared" si="1"/>
        <v>0</v>
      </c>
      <c r="T25" s="127">
        <f t="shared" si="1"/>
        <v>0</v>
      </c>
      <c r="U25" s="127">
        <f t="shared" si="1"/>
        <v>0</v>
      </c>
      <c r="V25" s="127">
        <f t="shared" si="1"/>
        <v>0</v>
      </c>
      <c r="W25" s="127">
        <f t="shared" si="1"/>
        <v>0</v>
      </c>
    </row>
    <row r="26" spans="2:15" ht="12.75">
      <c r="B26" s="127"/>
      <c r="C26" s="127"/>
      <c r="D26" s="127"/>
      <c r="E26" s="127"/>
      <c r="F26" s="127"/>
      <c r="G26" s="127"/>
      <c r="H26" s="171"/>
      <c r="I26" s="160"/>
      <c r="J26" s="127"/>
      <c r="K26" s="127"/>
      <c r="L26" s="127"/>
      <c r="M26" s="127"/>
      <c r="N26" s="127"/>
      <c r="O26" s="127"/>
    </row>
    <row r="27" spans="1:18" ht="12.75">
      <c r="A27" s="155" t="s">
        <v>17</v>
      </c>
      <c r="B27" s="127"/>
      <c r="C27" s="127"/>
      <c r="D27" s="127"/>
      <c r="E27" s="127"/>
      <c r="F27" s="127"/>
      <c r="G27" s="127"/>
      <c r="H27" s="171"/>
      <c r="I27" s="172" t="s">
        <v>17</v>
      </c>
      <c r="J27" s="127"/>
      <c r="K27" s="127"/>
      <c r="L27" s="127"/>
      <c r="M27" s="127"/>
      <c r="N27" s="127"/>
      <c r="O27" s="127"/>
      <c r="Q27" s="128" t="str">
        <f>+A27</f>
        <v>250 Hz</v>
      </c>
      <c r="R27" s="128">
        <f>+B27</f>
        <v>0</v>
      </c>
    </row>
    <row r="28" spans="1:23" ht="12.75">
      <c r="A28" s="142"/>
      <c r="B28" s="173" t="s">
        <v>2</v>
      </c>
      <c r="C28" s="173" t="s">
        <v>3</v>
      </c>
      <c r="D28" s="174" t="s">
        <v>4</v>
      </c>
      <c r="E28" s="174" t="s">
        <v>5</v>
      </c>
      <c r="F28" s="173" t="s">
        <v>6</v>
      </c>
      <c r="G28" s="174" t="s">
        <v>7</v>
      </c>
      <c r="H28" s="175"/>
      <c r="I28" s="176"/>
      <c r="J28" s="173" t="s">
        <v>2</v>
      </c>
      <c r="K28" s="173" t="s">
        <v>3</v>
      </c>
      <c r="L28" s="174" t="s">
        <v>4</v>
      </c>
      <c r="M28" s="174" t="s">
        <v>5</v>
      </c>
      <c r="N28" s="173" t="s">
        <v>6</v>
      </c>
      <c r="O28" s="174" t="s">
        <v>7</v>
      </c>
      <c r="Q28" s="128">
        <f>+A28</f>
        <v>0</v>
      </c>
      <c r="R28" s="128" t="str">
        <f>+B28</f>
        <v>S1R1</v>
      </c>
      <c r="S28" s="128" t="str">
        <f>+C28</f>
        <v>S1R2</v>
      </c>
      <c r="T28" s="128" t="str">
        <f>+D28</f>
        <v>S1R3</v>
      </c>
      <c r="U28" s="128" t="str">
        <f>+E28</f>
        <v>S2R1</v>
      </c>
      <c r="V28" s="128" t="str">
        <f>+F28</f>
        <v>S2R2</v>
      </c>
      <c r="W28" s="128" t="str">
        <f>+G28</f>
        <v>S2R3</v>
      </c>
    </row>
    <row r="29" spans="1:23" ht="12.75">
      <c r="A29" s="130" t="s">
        <v>8</v>
      </c>
      <c r="B29" s="127">
        <v>0.99</v>
      </c>
      <c r="C29" s="127">
        <v>0.93</v>
      </c>
      <c r="D29" s="127">
        <v>0.95</v>
      </c>
      <c r="E29" s="127">
        <v>0.96</v>
      </c>
      <c r="F29" s="127">
        <v>1.01</v>
      </c>
      <c r="G29" s="127">
        <v>0.92</v>
      </c>
      <c r="H29" s="181"/>
      <c r="I29" s="182" t="s">
        <v>8</v>
      </c>
      <c r="J29" s="127">
        <v>0.8</v>
      </c>
      <c r="K29" s="127">
        <v>0.86</v>
      </c>
      <c r="L29" s="127">
        <v>0.78</v>
      </c>
      <c r="M29" s="127">
        <v>0.83</v>
      </c>
      <c r="N29" s="127">
        <v>0.82</v>
      </c>
      <c r="O29" s="127">
        <v>0.7</v>
      </c>
      <c r="Q29" s="128" t="str">
        <f aca="true" t="shared" si="2" ref="Q29:Q37">+A29</f>
        <v>T30/s</v>
      </c>
      <c r="R29" s="127">
        <f aca="true" t="shared" si="3" ref="R29:W37">+B29-J29</f>
        <v>0.18999999999999995</v>
      </c>
      <c r="S29" s="127">
        <f t="shared" si="3"/>
        <v>0.07000000000000006</v>
      </c>
      <c r="T29" s="127">
        <f t="shared" si="3"/>
        <v>0.16999999999999993</v>
      </c>
      <c r="U29" s="127">
        <f t="shared" si="3"/>
        <v>0.13</v>
      </c>
      <c r="V29" s="127">
        <f t="shared" si="3"/>
        <v>0.19000000000000006</v>
      </c>
      <c r="W29" s="127">
        <f t="shared" si="3"/>
        <v>0.22000000000000008</v>
      </c>
    </row>
    <row r="30" spans="1:23" ht="12.75">
      <c r="A30" s="130" t="s">
        <v>9</v>
      </c>
      <c r="B30" s="127">
        <v>0.99</v>
      </c>
      <c r="C30" s="127">
        <v>0.96</v>
      </c>
      <c r="D30" s="127">
        <v>1.05</v>
      </c>
      <c r="E30" s="127">
        <v>0.9</v>
      </c>
      <c r="F30" s="127">
        <v>0.98</v>
      </c>
      <c r="G30" s="127">
        <v>0.92</v>
      </c>
      <c r="H30" s="181"/>
      <c r="I30" s="182" t="s">
        <v>9</v>
      </c>
      <c r="J30" s="127">
        <v>0.83</v>
      </c>
      <c r="K30" s="127">
        <v>0.81</v>
      </c>
      <c r="L30" s="127">
        <v>0.9</v>
      </c>
      <c r="M30" s="127">
        <v>0.76</v>
      </c>
      <c r="N30" s="127">
        <v>0.86</v>
      </c>
      <c r="O30" s="127">
        <v>0.79</v>
      </c>
      <c r="Q30" s="128" t="str">
        <f t="shared" si="2"/>
        <v>EDT/s</v>
      </c>
      <c r="R30" s="127">
        <f t="shared" si="3"/>
        <v>0.16000000000000003</v>
      </c>
      <c r="S30" s="127">
        <f t="shared" si="3"/>
        <v>0.1499999999999999</v>
      </c>
      <c r="T30" s="127">
        <f t="shared" si="3"/>
        <v>0.15000000000000002</v>
      </c>
      <c r="U30" s="127">
        <f t="shared" si="3"/>
        <v>0.14</v>
      </c>
      <c r="V30" s="127">
        <f t="shared" si="3"/>
        <v>0.12</v>
      </c>
      <c r="W30" s="127">
        <f t="shared" si="3"/>
        <v>0.13</v>
      </c>
    </row>
    <row r="31" spans="1:23" ht="12.75">
      <c r="A31" s="130" t="s">
        <v>10</v>
      </c>
      <c r="B31" s="127">
        <v>50.51</v>
      </c>
      <c r="C31" s="127">
        <v>52.47</v>
      </c>
      <c r="D31" s="127">
        <v>45.1</v>
      </c>
      <c r="E31" s="127">
        <v>55.81</v>
      </c>
      <c r="F31" s="127">
        <v>49.37</v>
      </c>
      <c r="G31" s="127">
        <v>54.33</v>
      </c>
      <c r="H31" s="181"/>
      <c r="I31" s="182" t="s">
        <v>10</v>
      </c>
      <c r="J31" s="127">
        <v>56.87</v>
      </c>
      <c r="K31" s="127">
        <v>58.24</v>
      </c>
      <c r="L31" s="127">
        <v>50.95</v>
      </c>
      <c r="M31" s="127">
        <v>62.82</v>
      </c>
      <c r="N31" s="127">
        <v>54.26</v>
      </c>
      <c r="O31" s="127">
        <v>59.61</v>
      </c>
      <c r="Q31" s="128" t="str">
        <f t="shared" si="2"/>
        <v>D/%</v>
      </c>
      <c r="R31" s="127">
        <f t="shared" si="3"/>
        <v>-6.359999999999999</v>
      </c>
      <c r="S31" s="127">
        <f t="shared" si="3"/>
        <v>-5.770000000000003</v>
      </c>
      <c r="T31" s="127">
        <f t="shared" si="3"/>
        <v>-5.850000000000001</v>
      </c>
      <c r="U31" s="127">
        <f t="shared" si="3"/>
        <v>-7.009999999999998</v>
      </c>
      <c r="V31" s="127">
        <f t="shared" si="3"/>
        <v>-4.890000000000001</v>
      </c>
      <c r="W31" s="127">
        <f t="shared" si="3"/>
        <v>-5.280000000000001</v>
      </c>
    </row>
    <row r="32" spans="1:23" ht="12.75">
      <c r="A32" s="130" t="s">
        <v>11</v>
      </c>
      <c r="B32" s="127">
        <v>3.34</v>
      </c>
      <c r="C32" s="127">
        <v>3.47</v>
      </c>
      <c r="D32" s="127">
        <v>2.43</v>
      </c>
      <c r="E32" s="127">
        <v>4.1</v>
      </c>
      <c r="F32" s="127">
        <v>3.14</v>
      </c>
      <c r="G32" s="127">
        <v>3.98</v>
      </c>
      <c r="H32" s="181"/>
      <c r="I32" s="182" t="s">
        <v>11</v>
      </c>
      <c r="J32" s="127">
        <v>4.64</v>
      </c>
      <c r="K32" s="127">
        <v>4.77</v>
      </c>
      <c r="L32" s="127">
        <v>3.66</v>
      </c>
      <c r="M32" s="127">
        <v>5.58</v>
      </c>
      <c r="N32" s="127">
        <v>4.24</v>
      </c>
      <c r="O32" s="127">
        <v>5.08</v>
      </c>
      <c r="Q32" s="128" t="str">
        <f t="shared" si="2"/>
        <v>C/dB</v>
      </c>
      <c r="R32" s="127">
        <f t="shared" si="3"/>
        <v>-1.2999999999999998</v>
      </c>
      <c r="S32" s="127">
        <f t="shared" si="3"/>
        <v>-1.2999999999999994</v>
      </c>
      <c r="T32" s="127">
        <f t="shared" si="3"/>
        <v>-1.23</v>
      </c>
      <c r="U32" s="127">
        <f t="shared" si="3"/>
        <v>-1.4800000000000004</v>
      </c>
      <c r="V32" s="127">
        <f t="shared" si="3"/>
        <v>-1.1</v>
      </c>
      <c r="W32" s="127">
        <f t="shared" si="3"/>
        <v>-1.1</v>
      </c>
    </row>
    <row r="33" spans="1:23" ht="12.75">
      <c r="A33" s="130" t="s">
        <v>12</v>
      </c>
      <c r="B33" s="127">
        <v>67.75</v>
      </c>
      <c r="C33" s="127">
        <v>64.09</v>
      </c>
      <c r="D33" s="127">
        <v>74.84</v>
      </c>
      <c r="E33" s="127">
        <v>59.88</v>
      </c>
      <c r="F33" s="127">
        <v>68.94</v>
      </c>
      <c r="G33" s="127">
        <v>61.32</v>
      </c>
      <c r="H33" s="181"/>
      <c r="I33" s="182" t="s">
        <v>12</v>
      </c>
      <c r="J33" s="127">
        <v>56.23</v>
      </c>
      <c r="K33" s="127">
        <v>53.41</v>
      </c>
      <c r="L33" s="127">
        <v>63.65</v>
      </c>
      <c r="M33" s="127">
        <v>48.52</v>
      </c>
      <c r="N33" s="127">
        <v>59.53</v>
      </c>
      <c r="O33" s="127">
        <v>52.39</v>
      </c>
      <c r="Q33" s="128" t="str">
        <f t="shared" si="2"/>
        <v>TS/ms</v>
      </c>
      <c r="R33" s="127">
        <f t="shared" si="3"/>
        <v>11.520000000000003</v>
      </c>
      <c r="S33" s="127">
        <f t="shared" si="3"/>
        <v>10.680000000000007</v>
      </c>
      <c r="T33" s="127">
        <f t="shared" si="3"/>
        <v>11.190000000000005</v>
      </c>
      <c r="U33" s="127">
        <f t="shared" si="3"/>
        <v>11.36</v>
      </c>
      <c r="V33" s="127">
        <f t="shared" si="3"/>
        <v>9.409999999999997</v>
      </c>
      <c r="W33" s="127">
        <f t="shared" si="3"/>
        <v>8.93</v>
      </c>
    </row>
    <row r="34" spans="1:23" ht="12.75">
      <c r="A34" s="130" t="s">
        <v>13</v>
      </c>
      <c r="B34" s="127">
        <v>17.74</v>
      </c>
      <c r="C34" s="127">
        <v>18.32</v>
      </c>
      <c r="D34" s="127">
        <v>17.57</v>
      </c>
      <c r="E34" s="127">
        <v>18.73</v>
      </c>
      <c r="F34" s="127">
        <v>17.87</v>
      </c>
      <c r="G34" s="127">
        <v>18.83</v>
      </c>
      <c r="H34" s="181"/>
      <c r="I34" s="182" t="s">
        <v>13</v>
      </c>
      <c r="J34" s="127">
        <v>17.13</v>
      </c>
      <c r="K34" s="127">
        <v>17.94</v>
      </c>
      <c r="L34" s="127">
        <v>16.99</v>
      </c>
      <c r="M34" s="127">
        <v>18.34</v>
      </c>
      <c r="N34" s="127">
        <v>17.52</v>
      </c>
      <c r="O34" s="127">
        <v>18.6</v>
      </c>
      <c r="Q34" s="128" t="str">
        <f t="shared" si="2"/>
        <v>G/dB</v>
      </c>
      <c r="R34" s="127">
        <f t="shared" si="3"/>
        <v>0.6099999999999994</v>
      </c>
      <c r="S34" s="127">
        <f t="shared" si="3"/>
        <v>0.379999999999999</v>
      </c>
      <c r="T34" s="127">
        <f t="shared" si="3"/>
        <v>0.5800000000000018</v>
      </c>
      <c r="U34" s="127">
        <f t="shared" si="3"/>
        <v>0.39000000000000057</v>
      </c>
      <c r="V34" s="127">
        <f t="shared" si="3"/>
        <v>0.3500000000000014</v>
      </c>
      <c r="W34" s="127">
        <f t="shared" si="3"/>
        <v>0.22999999999999687</v>
      </c>
    </row>
    <row r="35" spans="1:23" ht="12.75">
      <c r="A35" s="130" t="s">
        <v>14</v>
      </c>
      <c r="B35" s="127">
        <v>27.27</v>
      </c>
      <c r="C35" s="127">
        <v>14.71</v>
      </c>
      <c r="D35" s="127">
        <v>21.28</v>
      </c>
      <c r="E35" s="127">
        <v>17.18</v>
      </c>
      <c r="F35" s="127">
        <v>27.78</v>
      </c>
      <c r="G35" s="127">
        <v>20.45</v>
      </c>
      <c r="H35" s="181"/>
      <c r="I35" s="182" t="s">
        <v>14</v>
      </c>
      <c r="J35" s="127">
        <v>23.84</v>
      </c>
      <c r="K35" s="127">
        <v>15.01</v>
      </c>
      <c r="L35" s="127">
        <v>22.75</v>
      </c>
      <c r="M35" s="127">
        <v>19.95</v>
      </c>
      <c r="N35" s="127">
        <v>26.34</v>
      </c>
      <c r="O35" s="127">
        <v>21.24</v>
      </c>
      <c r="Q35" s="128" t="str">
        <f t="shared" si="2"/>
        <v>LF/%</v>
      </c>
      <c r="R35" s="127">
        <f t="shared" si="3"/>
        <v>3.4299999999999997</v>
      </c>
      <c r="S35" s="127">
        <f t="shared" si="3"/>
        <v>-0.29999999999999893</v>
      </c>
      <c r="T35" s="127">
        <f t="shared" si="3"/>
        <v>-1.4699999999999989</v>
      </c>
      <c r="U35" s="127">
        <f t="shared" si="3"/>
        <v>-2.7699999999999996</v>
      </c>
      <c r="V35" s="127">
        <f t="shared" si="3"/>
        <v>1.4400000000000013</v>
      </c>
      <c r="W35" s="127">
        <f t="shared" si="3"/>
        <v>-0.7899999999999991</v>
      </c>
    </row>
    <row r="36" spans="1:23" ht="12.75">
      <c r="A36" s="130" t="s">
        <v>15</v>
      </c>
      <c r="B36" s="127"/>
      <c r="C36" s="127"/>
      <c r="D36" s="127"/>
      <c r="E36" s="127"/>
      <c r="F36" s="127"/>
      <c r="G36" s="127"/>
      <c r="H36" s="181"/>
      <c r="I36" s="182" t="s">
        <v>15</v>
      </c>
      <c r="J36" s="127"/>
      <c r="K36" s="127"/>
      <c r="L36" s="127"/>
      <c r="M36" s="127"/>
      <c r="N36" s="127"/>
      <c r="O36" s="127"/>
      <c r="Q36" s="128" t="str">
        <f t="shared" si="2"/>
        <v>LFC/%</v>
      </c>
      <c r="R36" s="127">
        <f t="shared" si="3"/>
        <v>0</v>
      </c>
      <c r="S36" s="127">
        <f t="shared" si="3"/>
        <v>0</v>
      </c>
      <c r="T36" s="127">
        <f t="shared" si="3"/>
        <v>0</v>
      </c>
      <c r="U36" s="127">
        <f t="shared" si="3"/>
        <v>0</v>
      </c>
      <c r="V36" s="127">
        <f t="shared" si="3"/>
        <v>0</v>
      </c>
      <c r="W36" s="127">
        <f t="shared" si="3"/>
        <v>0</v>
      </c>
    </row>
    <row r="37" spans="1:23" ht="12.75">
      <c r="A37" s="134" t="s">
        <v>16</v>
      </c>
      <c r="B37" s="127"/>
      <c r="C37" s="127"/>
      <c r="D37" s="127"/>
      <c r="E37" s="127"/>
      <c r="F37" s="127"/>
      <c r="G37" s="127"/>
      <c r="H37" s="181"/>
      <c r="I37" s="188" t="s">
        <v>16</v>
      </c>
      <c r="J37" s="127"/>
      <c r="K37" s="127"/>
      <c r="L37" s="127"/>
      <c r="M37" s="127"/>
      <c r="N37" s="127"/>
      <c r="O37" s="127"/>
      <c r="Q37" s="128" t="str">
        <f t="shared" si="2"/>
        <v>IACC</v>
      </c>
      <c r="R37" s="127">
        <f t="shared" si="3"/>
        <v>0</v>
      </c>
      <c r="S37" s="127">
        <f t="shared" si="3"/>
        <v>0</v>
      </c>
      <c r="T37" s="127">
        <f t="shared" si="3"/>
        <v>0</v>
      </c>
      <c r="U37" s="127">
        <f t="shared" si="3"/>
        <v>0</v>
      </c>
      <c r="V37" s="127">
        <f t="shared" si="3"/>
        <v>0</v>
      </c>
      <c r="W37" s="127">
        <f t="shared" si="3"/>
        <v>0</v>
      </c>
    </row>
    <row r="38" spans="2:15" ht="12.75">
      <c r="B38" s="127"/>
      <c r="C38" s="127"/>
      <c r="D38" s="127"/>
      <c r="E38" s="127"/>
      <c r="F38" s="127"/>
      <c r="G38" s="127"/>
      <c r="H38" s="171"/>
      <c r="I38" s="160"/>
      <c r="J38" s="127"/>
      <c r="K38" s="127"/>
      <c r="L38" s="127"/>
      <c r="M38" s="127"/>
      <c r="N38" s="127"/>
      <c r="O38" s="127"/>
    </row>
    <row r="39" spans="1:18" ht="12.75">
      <c r="A39" s="155" t="s">
        <v>18</v>
      </c>
      <c r="B39" s="173" t="s">
        <v>2</v>
      </c>
      <c r="C39" s="173" t="s">
        <v>3</v>
      </c>
      <c r="D39" s="174" t="s">
        <v>4</v>
      </c>
      <c r="E39" s="174" t="s">
        <v>5</v>
      </c>
      <c r="F39" s="173" t="s">
        <v>6</v>
      </c>
      <c r="G39" s="174" t="s">
        <v>7</v>
      </c>
      <c r="H39" s="171"/>
      <c r="I39" s="172" t="s">
        <v>18</v>
      </c>
      <c r="J39" s="173" t="s">
        <v>2</v>
      </c>
      <c r="K39" s="173" t="s">
        <v>3</v>
      </c>
      <c r="L39" s="174" t="s">
        <v>4</v>
      </c>
      <c r="M39" s="174" t="s">
        <v>5</v>
      </c>
      <c r="N39" s="173" t="s">
        <v>6</v>
      </c>
      <c r="O39" s="174" t="s">
        <v>7</v>
      </c>
      <c r="Q39" s="128" t="str">
        <f>+A39</f>
        <v>500 Hz</v>
      </c>
      <c r="R39" s="128" t="str">
        <f>+B39</f>
        <v>S1R1</v>
      </c>
    </row>
    <row r="40" spans="1:23" ht="12.75">
      <c r="A40" s="142"/>
      <c r="B40" s="127"/>
      <c r="C40" s="127"/>
      <c r="D40" s="127"/>
      <c r="E40" s="127"/>
      <c r="F40" s="127"/>
      <c r="G40" s="127"/>
      <c r="H40" s="175"/>
      <c r="I40" s="176"/>
      <c r="J40" s="127"/>
      <c r="K40" s="127"/>
      <c r="L40" s="127"/>
      <c r="M40" s="127"/>
      <c r="N40" s="127"/>
      <c r="O40" s="127"/>
      <c r="Q40" s="128">
        <f>+A40</f>
        <v>0</v>
      </c>
      <c r="R40" s="128">
        <f>+B40</f>
        <v>0</v>
      </c>
      <c r="S40" s="128">
        <f>+C40</f>
        <v>0</v>
      </c>
      <c r="T40" s="128">
        <f>+D40</f>
        <v>0</v>
      </c>
      <c r="U40" s="128">
        <f>+E40</f>
        <v>0</v>
      </c>
      <c r="V40" s="128">
        <f>+F40</f>
        <v>0</v>
      </c>
      <c r="W40" s="128">
        <f>+G40</f>
        <v>0</v>
      </c>
    </row>
    <row r="41" spans="1:23" ht="12.75">
      <c r="A41" s="130" t="s">
        <v>8</v>
      </c>
      <c r="B41" s="127">
        <v>1.07</v>
      </c>
      <c r="C41" s="127">
        <v>1.09</v>
      </c>
      <c r="D41" s="127">
        <v>1.09</v>
      </c>
      <c r="E41" s="127">
        <v>1.13</v>
      </c>
      <c r="F41" s="127">
        <v>1.14</v>
      </c>
      <c r="G41" s="127">
        <v>1.13</v>
      </c>
      <c r="H41" s="181"/>
      <c r="I41" s="182" t="s">
        <v>8</v>
      </c>
      <c r="J41" s="127">
        <v>0.83</v>
      </c>
      <c r="K41" s="127">
        <v>0.79</v>
      </c>
      <c r="L41" s="127">
        <v>0.82</v>
      </c>
      <c r="M41" s="127">
        <v>0.88</v>
      </c>
      <c r="N41" s="127">
        <v>0.88</v>
      </c>
      <c r="O41" s="127">
        <v>0.89</v>
      </c>
      <c r="Q41" s="128" t="str">
        <f aca="true" t="shared" si="4" ref="Q41:Q49">+A41</f>
        <v>T30/s</v>
      </c>
      <c r="R41" s="127">
        <f aca="true" t="shared" si="5" ref="R41:W49">+B41-J41</f>
        <v>0.2400000000000001</v>
      </c>
      <c r="S41" s="127">
        <f t="shared" si="5"/>
        <v>0.30000000000000004</v>
      </c>
      <c r="T41" s="127">
        <f t="shared" si="5"/>
        <v>0.27000000000000013</v>
      </c>
      <c r="U41" s="127">
        <f t="shared" si="5"/>
        <v>0.2499999999999999</v>
      </c>
      <c r="V41" s="127">
        <f t="shared" si="5"/>
        <v>0.2599999999999999</v>
      </c>
      <c r="W41" s="127">
        <f t="shared" si="5"/>
        <v>0.23999999999999988</v>
      </c>
    </row>
    <row r="42" spans="1:23" ht="12.75">
      <c r="A42" s="130" t="s">
        <v>9</v>
      </c>
      <c r="B42" s="127">
        <v>1.17</v>
      </c>
      <c r="C42" s="127">
        <v>1.12</v>
      </c>
      <c r="D42" s="127">
        <v>1.21</v>
      </c>
      <c r="E42" s="127">
        <v>1.07</v>
      </c>
      <c r="F42" s="127">
        <v>1.15</v>
      </c>
      <c r="G42" s="127">
        <v>1.08</v>
      </c>
      <c r="H42" s="181"/>
      <c r="I42" s="182" t="s">
        <v>9</v>
      </c>
      <c r="J42" s="127">
        <v>0.93</v>
      </c>
      <c r="K42" s="127">
        <v>0.89</v>
      </c>
      <c r="L42" s="127">
        <v>0.99</v>
      </c>
      <c r="M42" s="127">
        <v>0.86</v>
      </c>
      <c r="N42" s="127">
        <v>0.96</v>
      </c>
      <c r="O42" s="127">
        <v>0.88</v>
      </c>
      <c r="Q42" s="128" t="str">
        <f t="shared" si="4"/>
        <v>EDT/s</v>
      </c>
      <c r="R42" s="127">
        <f t="shared" si="5"/>
        <v>0.23999999999999988</v>
      </c>
      <c r="S42" s="127">
        <f t="shared" si="5"/>
        <v>0.2300000000000001</v>
      </c>
      <c r="T42" s="127">
        <f t="shared" si="5"/>
        <v>0.21999999999999997</v>
      </c>
      <c r="U42" s="127">
        <f t="shared" si="5"/>
        <v>0.21000000000000008</v>
      </c>
      <c r="V42" s="127">
        <f t="shared" si="5"/>
        <v>0.18999999999999995</v>
      </c>
      <c r="W42" s="127">
        <f t="shared" si="5"/>
        <v>0.20000000000000007</v>
      </c>
    </row>
    <row r="43" spans="1:23" ht="12.75">
      <c r="A43" s="130" t="s">
        <v>10</v>
      </c>
      <c r="B43" s="127">
        <v>44.13</v>
      </c>
      <c r="C43" s="127">
        <v>47.07</v>
      </c>
      <c r="D43" s="127">
        <v>39.55</v>
      </c>
      <c r="E43" s="127">
        <v>49.68</v>
      </c>
      <c r="F43" s="127">
        <v>43.32</v>
      </c>
      <c r="G43" s="127">
        <v>49.02</v>
      </c>
      <c r="H43" s="181"/>
      <c r="I43" s="182" t="s">
        <v>10</v>
      </c>
      <c r="J43" s="127">
        <v>51.84</v>
      </c>
      <c r="K43" s="127">
        <v>54.4</v>
      </c>
      <c r="L43" s="127">
        <v>47.23</v>
      </c>
      <c r="M43" s="127">
        <v>57.45</v>
      </c>
      <c r="N43" s="127">
        <v>49.57</v>
      </c>
      <c r="O43" s="127">
        <v>55.63</v>
      </c>
      <c r="Q43" s="128" t="str">
        <f t="shared" si="4"/>
        <v>D/%</v>
      </c>
      <c r="R43" s="127">
        <f t="shared" si="5"/>
        <v>-7.710000000000001</v>
      </c>
      <c r="S43" s="127">
        <f t="shared" si="5"/>
        <v>-7.329999999999998</v>
      </c>
      <c r="T43" s="127">
        <f t="shared" si="5"/>
        <v>-7.68</v>
      </c>
      <c r="U43" s="127">
        <f t="shared" si="5"/>
        <v>-7.770000000000003</v>
      </c>
      <c r="V43" s="127">
        <f t="shared" si="5"/>
        <v>-6.25</v>
      </c>
      <c r="W43" s="127">
        <f t="shared" si="5"/>
        <v>-6.609999999999999</v>
      </c>
    </row>
    <row r="44" spans="1:23" ht="12.75">
      <c r="A44" s="130" t="s">
        <v>11</v>
      </c>
      <c r="B44" s="127">
        <v>2.02</v>
      </c>
      <c r="C44" s="127">
        <v>2.45</v>
      </c>
      <c r="D44" s="127">
        <v>1.36</v>
      </c>
      <c r="E44" s="127">
        <v>2.87</v>
      </c>
      <c r="F44" s="127">
        <v>1.91</v>
      </c>
      <c r="G44" s="127">
        <v>2.76</v>
      </c>
      <c r="H44" s="181"/>
      <c r="I44" s="182" t="s">
        <v>11</v>
      </c>
      <c r="J44" s="127">
        <v>3.59</v>
      </c>
      <c r="K44" s="127">
        <v>3.98</v>
      </c>
      <c r="L44" s="127">
        <v>2.94</v>
      </c>
      <c r="M44" s="127">
        <v>4.52</v>
      </c>
      <c r="N44" s="127">
        <v>3.29</v>
      </c>
      <c r="O44" s="127">
        <v>4.16</v>
      </c>
      <c r="Q44" s="128" t="str">
        <f t="shared" si="4"/>
        <v>C/dB</v>
      </c>
      <c r="R44" s="127">
        <f t="shared" si="5"/>
        <v>-1.5699999999999998</v>
      </c>
      <c r="S44" s="127">
        <f t="shared" si="5"/>
        <v>-1.5299999999999998</v>
      </c>
      <c r="T44" s="127">
        <f t="shared" si="5"/>
        <v>-1.5799999999999998</v>
      </c>
      <c r="U44" s="127">
        <f t="shared" si="5"/>
        <v>-1.6499999999999995</v>
      </c>
      <c r="V44" s="127">
        <f t="shared" si="5"/>
        <v>-1.3800000000000001</v>
      </c>
      <c r="W44" s="127">
        <f t="shared" si="5"/>
        <v>-1.4000000000000004</v>
      </c>
    </row>
    <row r="45" spans="1:23" ht="12.75">
      <c r="A45" s="130" t="s">
        <v>12</v>
      </c>
      <c r="B45" s="127">
        <v>81.66</v>
      </c>
      <c r="C45" s="127">
        <v>76.37</v>
      </c>
      <c r="D45" s="127">
        <v>87.41</v>
      </c>
      <c r="E45" s="127">
        <v>72.11</v>
      </c>
      <c r="F45" s="127">
        <v>82.24</v>
      </c>
      <c r="G45" s="127">
        <v>73.34</v>
      </c>
      <c r="H45" s="181"/>
      <c r="I45" s="182" t="s">
        <v>12</v>
      </c>
      <c r="J45" s="127">
        <v>64.7</v>
      </c>
      <c r="K45" s="127">
        <v>60.57</v>
      </c>
      <c r="L45" s="127">
        <v>70.54</v>
      </c>
      <c r="M45" s="127">
        <v>56.39</v>
      </c>
      <c r="N45" s="127">
        <v>67.52</v>
      </c>
      <c r="O45" s="127">
        <v>59.27</v>
      </c>
      <c r="Q45" s="128" t="str">
        <f t="shared" si="4"/>
        <v>TS/ms</v>
      </c>
      <c r="R45" s="127">
        <f t="shared" si="5"/>
        <v>16.959999999999994</v>
      </c>
      <c r="S45" s="127">
        <f t="shared" si="5"/>
        <v>15.800000000000004</v>
      </c>
      <c r="T45" s="127">
        <f t="shared" si="5"/>
        <v>16.86999999999999</v>
      </c>
      <c r="U45" s="127">
        <f t="shared" si="5"/>
        <v>15.719999999999999</v>
      </c>
      <c r="V45" s="127">
        <f t="shared" si="5"/>
        <v>14.719999999999999</v>
      </c>
      <c r="W45" s="127">
        <f t="shared" si="5"/>
        <v>14.07</v>
      </c>
    </row>
    <row r="46" spans="1:23" ht="12.75">
      <c r="A46" s="130" t="s">
        <v>13</v>
      </c>
      <c r="B46" s="127">
        <v>18.64</v>
      </c>
      <c r="C46" s="127">
        <v>19.42</v>
      </c>
      <c r="D46" s="127">
        <v>18.58</v>
      </c>
      <c r="E46" s="127">
        <v>19.37</v>
      </c>
      <c r="F46" s="127">
        <v>18.87</v>
      </c>
      <c r="G46" s="127">
        <v>19.59</v>
      </c>
      <c r="H46" s="181"/>
      <c r="I46" s="182" t="s">
        <v>13</v>
      </c>
      <c r="J46" s="127">
        <v>17.72</v>
      </c>
      <c r="K46" s="127">
        <v>18.74</v>
      </c>
      <c r="L46" s="127">
        <v>17.73</v>
      </c>
      <c r="M46" s="127">
        <v>18.64</v>
      </c>
      <c r="N46" s="127">
        <v>18.17</v>
      </c>
      <c r="O46" s="127">
        <v>19.02</v>
      </c>
      <c r="Q46" s="128" t="str">
        <f t="shared" si="4"/>
        <v>G/dB</v>
      </c>
      <c r="R46" s="127">
        <f t="shared" si="5"/>
        <v>0.9200000000000017</v>
      </c>
      <c r="S46" s="127">
        <f t="shared" si="5"/>
        <v>0.6800000000000033</v>
      </c>
      <c r="T46" s="127">
        <f t="shared" si="5"/>
        <v>0.8499999999999979</v>
      </c>
      <c r="U46" s="127">
        <f t="shared" si="5"/>
        <v>0.7300000000000004</v>
      </c>
      <c r="V46" s="127">
        <f t="shared" si="5"/>
        <v>0.6999999999999993</v>
      </c>
      <c r="W46" s="127">
        <f t="shared" si="5"/>
        <v>0.5700000000000003</v>
      </c>
    </row>
    <row r="47" spans="1:23" ht="12.75">
      <c r="A47" s="130" t="s">
        <v>14</v>
      </c>
      <c r="B47" s="127">
        <v>27.65</v>
      </c>
      <c r="C47" s="127">
        <v>17.96</v>
      </c>
      <c r="D47" s="127">
        <v>23.3</v>
      </c>
      <c r="E47" s="127">
        <v>19.72</v>
      </c>
      <c r="F47" s="127">
        <v>28.24</v>
      </c>
      <c r="G47" s="127">
        <v>23.49</v>
      </c>
      <c r="H47" s="181"/>
      <c r="I47" s="182" t="s">
        <v>14</v>
      </c>
      <c r="J47" s="127">
        <v>24.3</v>
      </c>
      <c r="K47" s="127">
        <v>18.65</v>
      </c>
      <c r="L47" s="127">
        <v>25.39</v>
      </c>
      <c r="M47" s="127">
        <v>20.61</v>
      </c>
      <c r="N47" s="127">
        <v>26.24</v>
      </c>
      <c r="O47" s="127">
        <v>23.06</v>
      </c>
      <c r="Q47" s="128" t="str">
        <f t="shared" si="4"/>
        <v>LF/%</v>
      </c>
      <c r="R47" s="127">
        <f t="shared" si="5"/>
        <v>3.349999999999998</v>
      </c>
      <c r="S47" s="127">
        <f t="shared" si="5"/>
        <v>-0.6899999999999977</v>
      </c>
      <c r="T47" s="127">
        <f t="shared" si="5"/>
        <v>-2.09</v>
      </c>
      <c r="U47" s="127">
        <f t="shared" si="5"/>
        <v>-0.8900000000000006</v>
      </c>
      <c r="V47" s="127">
        <f t="shared" si="5"/>
        <v>2</v>
      </c>
      <c r="W47" s="127">
        <f t="shared" si="5"/>
        <v>0.4299999999999997</v>
      </c>
    </row>
    <row r="48" spans="1:23" ht="12.75">
      <c r="A48" s="130" t="s">
        <v>15</v>
      </c>
      <c r="B48" s="127"/>
      <c r="C48" s="127"/>
      <c r="D48" s="127"/>
      <c r="E48" s="127"/>
      <c r="F48" s="127"/>
      <c r="G48" s="127"/>
      <c r="H48" s="181"/>
      <c r="I48" s="182" t="s">
        <v>15</v>
      </c>
      <c r="J48" s="127"/>
      <c r="K48" s="127"/>
      <c r="L48" s="127"/>
      <c r="M48" s="127"/>
      <c r="N48" s="127"/>
      <c r="O48" s="127"/>
      <c r="Q48" s="128" t="str">
        <f t="shared" si="4"/>
        <v>LFC/%</v>
      </c>
      <c r="R48" s="127">
        <f t="shared" si="5"/>
        <v>0</v>
      </c>
      <c r="S48" s="127">
        <f t="shared" si="5"/>
        <v>0</v>
      </c>
      <c r="T48" s="127">
        <f t="shared" si="5"/>
        <v>0</v>
      </c>
      <c r="U48" s="127">
        <f t="shared" si="5"/>
        <v>0</v>
      </c>
      <c r="V48" s="127">
        <f t="shared" si="5"/>
        <v>0</v>
      </c>
      <c r="W48" s="127">
        <f t="shared" si="5"/>
        <v>0</v>
      </c>
    </row>
    <row r="49" spans="1:23" ht="12.75">
      <c r="A49" s="134" t="s">
        <v>16</v>
      </c>
      <c r="B49" s="127"/>
      <c r="C49" s="127"/>
      <c r="D49" s="127"/>
      <c r="E49" s="127"/>
      <c r="F49" s="127"/>
      <c r="G49" s="127"/>
      <c r="H49" s="181"/>
      <c r="I49" s="188" t="s">
        <v>16</v>
      </c>
      <c r="J49" s="127"/>
      <c r="K49" s="127"/>
      <c r="L49" s="127"/>
      <c r="M49" s="127"/>
      <c r="N49" s="127"/>
      <c r="O49" s="127"/>
      <c r="Q49" s="128" t="str">
        <f t="shared" si="4"/>
        <v>IACC</v>
      </c>
      <c r="R49" s="127">
        <f t="shared" si="5"/>
        <v>0</v>
      </c>
      <c r="S49" s="127">
        <f t="shared" si="5"/>
        <v>0</v>
      </c>
      <c r="T49" s="127">
        <f t="shared" si="5"/>
        <v>0</v>
      </c>
      <c r="U49" s="127">
        <f t="shared" si="5"/>
        <v>0</v>
      </c>
      <c r="V49" s="127">
        <f t="shared" si="5"/>
        <v>0</v>
      </c>
      <c r="W49" s="127">
        <f t="shared" si="5"/>
        <v>0</v>
      </c>
    </row>
    <row r="50" spans="2:23" ht="12.75">
      <c r="B50" s="127"/>
      <c r="C50" s="127"/>
      <c r="D50" s="127"/>
      <c r="E50" s="127"/>
      <c r="F50" s="127"/>
      <c r="G50" s="127"/>
      <c r="H50" s="171"/>
      <c r="I50" s="160"/>
      <c r="J50" s="127"/>
      <c r="K50" s="127"/>
      <c r="L50" s="127"/>
      <c r="M50" s="127"/>
      <c r="N50" s="127"/>
      <c r="O50" s="127"/>
      <c r="R50" s="127"/>
      <c r="S50" s="127"/>
      <c r="T50" s="127"/>
      <c r="U50" s="127"/>
      <c r="V50" s="127"/>
      <c r="W50" s="127"/>
    </row>
    <row r="51" spans="1:18" ht="12.75">
      <c r="A51" s="155" t="s">
        <v>19</v>
      </c>
      <c r="B51" s="173" t="s">
        <v>2</v>
      </c>
      <c r="C51" s="173" t="s">
        <v>3</v>
      </c>
      <c r="D51" s="174" t="s">
        <v>4</v>
      </c>
      <c r="E51" s="174" t="s">
        <v>5</v>
      </c>
      <c r="F51" s="173" t="s">
        <v>6</v>
      </c>
      <c r="G51" s="174" t="s">
        <v>7</v>
      </c>
      <c r="H51" s="171"/>
      <c r="I51" s="172" t="s">
        <v>19</v>
      </c>
      <c r="J51" s="173" t="s">
        <v>2</v>
      </c>
      <c r="K51" s="173" t="s">
        <v>3</v>
      </c>
      <c r="L51" s="174" t="s">
        <v>4</v>
      </c>
      <c r="M51" s="174" t="s">
        <v>5</v>
      </c>
      <c r="N51" s="173" t="s">
        <v>6</v>
      </c>
      <c r="O51" s="174" t="s">
        <v>7</v>
      </c>
      <c r="Q51" s="128" t="str">
        <f>+A51</f>
        <v>1000 Hz</v>
      </c>
      <c r="R51" s="128" t="str">
        <f>+B51</f>
        <v>S1R1</v>
      </c>
    </row>
    <row r="52" spans="1:23" ht="12.75">
      <c r="A52" s="142"/>
      <c r="B52" s="127"/>
      <c r="C52" s="127"/>
      <c r="D52" s="127"/>
      <c r="E52" s="127"/>
      <c r="F52" s="127"/>
      <c r="G52" s="127"/>
      <c r="H52" s="175"/>
      <c r="I52" s="176"/>
      <c r="J52" s="127"/>
      <c r="K52" s="127"/>
      <c r="L52" s="127"/>
      <c r="M52" s="127"/>
      <c r="N52" s="127"/>
      <c r="O52" s="127"/>
      <c r="Q52" s="128">
        <f>+A52</f>
        <v>0</v>
      </c>
      <c r="R52" s="128">
        <f>+B52</f>
        <v>0</v>
      </c>
      <c r="S52" s="128">
        <f>+C52</f>
        <v>0</v>
      </c>
      <c r="T52" s="128">
        <f>+D52</f>
        <v>0</v>
      </c>
      <c r="U52" s="128">
        <f>+E52</f>
        <v>0</v>
      </c>
      <c r="V52" s="128">
        <f>+F52</f>
        <v>0</v>
      </c>
      <c r="W52" s="128">
        <f>+G52</f>
        <v>0</v>
      </c>
    </row>
    <row r="53" spans="1:23" ht="12.75">
      <c r="A53" s="130" t="s">
        <v>8</v>
      </c>
      <c r="B53" s="127">
        <v>1.05</v>
      </c>
      <c r="C53" s="127">
        <v>1.08</v>
      </c>
      <c r="D53" s="127">
        <v>1.08</v>
      </c>
      <c r="E53" s="127">
        <v>1.16</v>
      </c>
      <c r="F53" s="127">
        <v>1.08</v>
      </c>
      <c r="G53" s="127">
        <v>1.13</v>
      </c>
      <c r="H53" s="181"/>
      <c r="I53" s="182" t="s">
        <v>8</v>
      </c>
      <c r="J53" s="127">
        <v>0.75</v>
      </c>
      <c r="K53" s="127">
        <v>0.72</v>
      </c>
      <c r="L53" s="127">
        <v>0.74</v>
      </c>
      <c r="M53" s="127">
        <v>0.77</v>
      </c>
      <c r="N53" s="127">
        <v>0.69</v>
      </c>
      <c r="O53" s="127">
        <v>0.77</v>
      </c>
      <c r="Q53" s="128" t="str">
        <f aca="true" t="shared" si="6" ref="Q53:Q61">+A53</f>
        <v>T30/s</v>
      </c>
      <c r="R53" s="127">
        <f aca="true" t="shared" si="7" ref="R53:W61">+B53-J53</f>
        <v>0.30000000000000004</v>
      </c>
      <c r="S53" s="127">
        <f t="shared" si="7"/>
        <v>0.3600000000000001</v>
      </c>
      <c r="T53" s="127">
        <f t="shared" si="7"/>
        <v>0.3400000000000001</v>
      </c>
      <c r="U53" s="127">
        <f t="shared" si="7"/>
        <v>0.3899999999999999</v>
      </c>
      <c r="V53" s="127">
        <f t="shared" si="7"/>
        <v>0.3900000000000001</v>
      </c>
      <c r="W53" s="127">
        <f t="shared" si="7"/>
        <v>0.3599999999999999</v>
      </c>
    </row>
    <row r="54" spans="1:23" ht="12.75">
      <c r="A54" s="130" t="s">
        <v>9</v>
      </c>
      <c r="B54" s="127">
        <v>1.07</v>
      </c>
      <c r="C54" s="127">
        <v>1</v>
      </c>
      <c r="D54" s="127">
        <v>1.1</v>
      </c>
      <c r="E54" s="127">
        <v>0.95</v>
      </c>
      <c r="F54" s="127">
        <v>1.05</v>
      </c>
      <c r="G54" s="127">
        <v>0.96</v>
      </c>
      <c r="H54" s="181"/>
      <c r="I54" s="182" t="s">
        <v>9</v>
      </c>
      <c r="J54" s="127">
        <v>0.81</v>
      </c>
      <c r="K54" s="127">
        <v>0.76</v>
      </c>
      <c r="L54" s="127">
        <v>0.86</v>
      </c>
      <c r="M54" s="127">
        <v>0.75</v>
      </c>
      <c r="N54" s="127">
        <v>0.84</v>
      </c>
      <c r="O54" s="127">
        <v>0.75</v>
      </c>
      <c r="Q54" s="128" t="str">
        <f t="shared" si="6"/>
        <v>EDT/s</v>
      </c>
      <c r="R54" s="127">
        <f t="shared" si="7"/>
        <v>0.26</v>
      </c>
      <c r="S54" s="127">
        <f t="shared" si="7"/>
        <v>0.24</v>
      </c>
      <c r="T54" s="127">
        <f t="shared" si="7"/>
        <v>0.2400000000000001</v>
      </c>
      <c r="U54" s="127">
        <f t="shared" si="7"/>
        <v>0.19999999999999996</v>
      </c>
      <c r="V54" s="127">
        <f t="shared" si="7"/>
        <v>0.21000000000000008</v>
      </c>
      <c r="W54" s="127">
        <f t="shared" si="7"/>
        <v>0.20999999999999996</v>
      </c>
    </row>
    <row r="55" spans="1:23" ht="12.75">
      <c r="A55" s="130" t="s">
        <v>10</v>
      </c>
      <c r="B55" s="127">
        <v>47.53</v>
      </c>
      <c r="C55" s="127">
        <v>52.2</v>
      </c>
      <c r="D55" s="127">
        <v>43.88</v>
      </c>
      <c r="E55" s="127">
        <v>54.67</v>
      </c>
      <c r="F55" s="127">
        <v>47.23</v>
      </c>
      <c r="G55" s="127">
        <v>54.21</v>
      </c>
      <c r="H55" s="181"/>
      <c r="I55" s="182" t="s">
        <v>10</v>
      </c>
      <c r="J55" s="127">
        <v>57.31</v>
      </c>
      <c r="K55" s="127">
        <v>61.09</v>
      </c>
      <c r="L55" s="127">
        <v>53.83</v>
      </c>
      <c r="M55" s="127">
        <v>62.84</v>
      </c>
      <c r="N55" s="127">
        <v>55.36</v>
      </c>
      <c r="O55" s="127">
        <v>62.7</v>
      </c>
      <c r="Q55" s="128" t="str">
        <f t="shared" si="6"/>
        <v>D/%</v>
      </c>
      <c r="R55" s="127">
        <f t="shared" si="7"/>
        <v>-9.780000000000001</v>
      </c>
      <c r="S55" s="127">
        <f t="shared" si="7"/>
        <v>-8.89</v>
      </c>
      <c r="T55" s="127">
        <f t="shared" si="7"/>
        <v>-9.949999999999996</v>
      </c>
      <c r="U55" s="127">
        <f t="shared" si="7"/>
        <v>-8.170000000000002</v>
      </c>
      <c r="V55" s="127">
        <f t="shared" si="7"/>
        <v>-8.130000000000003</v>
      </c>
      <c r="W55" s="127">
        <f t="shared" si="7"/>
        <v>-8.490000000000002</v>
      </c>
    </row>
    <row r="56" spans="1:23" ht="12.75">
      <c r="A56" s="130" t="s">
        <v>11</v>
      </c>
      <c r="B56" s="127">
        <v>2.67</v>
      </c>
      <c r="C56" s="127">
        <v>3.42</v>
      </c>
      <c r="D56" s="127">
        <v>2.18</v>
      </c>
      <c r="E56" s="127">
        <v>3.78</v>
      </c>
      <c r="F56" s="127">
        <v>2.66</v>
      </c>
      <c r="G56" s="127">
        <v>3.67</v>
      </c>
      <c r="H56" s="181"/>
      <c r="I56" s="182" t="s">
        <v>11</v>
      </c>
      <c r="J56" s="127">
        <v>4.72</v>
      </c>
      <c r="K56" s="127">
        <v>5.35</v>
      </c>
      <c r="L56" s="127">
        <v>4.26</v>
      </c>
      <c r="M56" s="127">
        <v>5.72</v>
      </c>
      <c r="N56" s="127">
        <v>4.45</v>
      </c>
      <c r="O56" s="127">
        <v>5.56</v>
      </c>
      <c r="Q56" s="128" t="str">
        <f t="shared" si="6"/>
        <v>C/dB</v>
      </c>
      <c r="R56" s="127">
        <f t="shared" si="7"/>
        <v>-2.05</v>
      </c>
      <c r="S56" s="127">
        <f t="shared" si="7"/>
        <v>-1.9299999999999997</v>
      </c>
      <c r="T56" s="127">
        <f t="shared" si="7"/>
        <v>-2.0799999999999996</v>
      </c>
      <c r="U56" s="127">
        <f t="shared" si="7"/>
        <v>-1.94</v>
      </c>
      <c r="V56" s="127">
        <f t="shared" si="7"/>
        <v>-1.79</v>
      </c>
      <c r="W56" s="127">
        <f t="shared" si="7"/>
        <v>-1.8899999999999997</v>
      </c>
    </row>
    <row r="57" spans="1:23" ht="13.5" customHeight="1">
      <c r="A57" s="130" t="s">
        <v>12</v>
      </c>
      <c r="B57" s="127">
        <v>74.36</v>
      </c>
      <c r="C57" s="127">
        <v>67.14</v>
      </c>
      <c r="D57" s="127">
        <v>78.62</v>
      </c>
      <c r="E57" s="127">
        <v>63.12</v>
      </c>
      <c r="F57" s="127">
        <v>74.24</v>
      </c>
      <c r="G57" s="127">
        <v>64.2</v>
      </c>
      <c r="H57" s="181"/>
      <c r="I57" s="182" t="s">
        <v>12</v>
      </c>
      <c r="J57" s="127">
        <v>55.46</v>
      </c>
      <c r="K57" s="127">
        <v>50.17</v>
      </c>
      <c r="L57" s="127">
        <v>59.7</v>
      </c>
      <c r="M57" s="127">
        <v>47.56</v>
      </c>
      <c r="N57" s="127">
        <v>57.91</v>
      </c>
      <c r="O57" s="127">
        <v>48.75</v>
      </c>
      <c r="Q57" s="128" t="str">
        <f t="shared" si="6"/>
        <v>TS/ms</v>
      </c>
      <c r="R57" s="127">
        <f t="shared" si="7"/>
        <v>18.9</v>
      </c>
      <c r="S57" s="127">
        <f t="shared" si="7"/>
        <v>16.97</v>
      </c>
      <c r="T57" s="127">
        <f t="shared" si="7"/>
        <v>18.92</v>
      </c>
      <c r="U57" s="127">
        <f t="shared" si="7"/>
        <v>15.559999999999995</v>
      </c>
      <c r="V57" s="127">
        <f t="shared" si="7"/>
        <v>16.33</v>
      </c>
      <c r="W57" s="127">
        <f t="shared" si="7"/>
        <v>15.450000000000003</v>
      </c>
    </row>
    <row r="58" spans="1:23" ht="12" customHeight="1">
      <c r="A58" s="130" t="s">
        <v>13</v>
      </c>
      <c r="B58" s="127">
        <v>18.2</v>
      </c>
      <c r="C58" s="127">
        <v>19.22</v>
      </c>
      <c r="D58" s="127">
        <v>18.18</v>
      </c>
      <c r="E58" s="127">
        <v>19.07</v>
      </c>
      <c r="F58" s="127">
        <v>18.48</v>
      </c>
      <c r="G58" s="127">
        <v>19.32</v>
      </c>
      <c r="H58" s="181"/>
      <c r="I58" s="182" t="s">
        <v>13</v>
      </c>
      <c r="J58" s="127">
        <v>17.06</v>
      </c>
      <c r="K58" s="127">
        <v>18.36</v>
      </c>
      <c r="L58" s="127">
        <v>17.08</v>
      </c>
      <c r="M58" s="127">
        <v>18.04</v>
      </c>
      <c r="N58" s="127">
        <v>17.55</v>
      </c>
      <c r="O58" s="127">
        <v>18.57</v>
      </c>
      <c r="Q58" s="128" t="str">
        <f t="shared" si="6"/>
        <v>G/dB</v>
      </c>
      <c r="R58" s="127">
        <f t="shared" si="7"/>
        <v>1.1400000000000006</v>
      </c>
      <c r="S58" s="127">
        <f t="shared" si="7"/>
        <v>0.8599999999999994</v>
      </c>
      <c r="T58" s="127">
        <f t="shared" si="7"/>
        <v>1.1000000000000014</v>
      </c>
      <c r="U58" s="127">
        <f t="shared" si="7"/>
        <v>1.0300000000000011</v>
      </c>
      <c r="V58" s="127">
        <f t="shared" si="7"/>
        <v>0.9299999999999997</v>
      </c>
      <c r="W58" s="127">
        <f t="shared" si="7"/>
        <v>0.75</v>
      </c>
    </row>
    <row r="59" spans="1:23" ht="12.75">
      <c r="A59" s="130" t="s">
        <v>14</v>
      </c>
      <c r="B59" s="127">
        <v>27.69</v>
      </c>
      <c r="C59" s="127">
        <v>19.02</v>
      </c>
      <c r="D59" s="127">
        <v>23.14</v>
      </c>
      <c r="E59" s="127">
        <v>21.87</v>
      </c>
      <c r="F59" s="127">
        <v>28.03</v>
      </c>
      <c r="G59" s="127">
        <v>25.05</v>
      </c>
      <c r="H59" s="181"/>
      <c r="I59" s="182" t="s">
        <v>14</v>
      </c>
      <c r="J59" s="127">
        <v>23.51</v>
      </c>
      <c r="K59" s="127">
        <v>18.87</v>
      </c>
      <c r="L59" s="127">
        <v>24.81</v>
      </c>
      <c r="M59" s="127">
        <v>19.58</v>
      </c>
      <c r="N59" s="127">
        <v>25.25</v>
      </c>
      <c r="O59" s="127">
        <v>24.38</v>
      </c>
      <c r="Q59" s="128" t="str">
        <f t="shared" si="6"/>
        <v>LF/%</v>
      </c>
      <c r="R59" s="127">
        <f t="shared" si="7"/>
        <v>4.18</v>
      </c>
      <c r="S59" s="127">
        <f t="shared" si="7"/>
        <v>0.14999999999999858</v>
      </c>
      <c r="T59" s="127">
        <f t="shared" si="7"/>
        <v>-1.6699999999999982</v>
      </c>
      <c r="U59" s="127">
        <f t="shared" si="7"/>
        <v>2.2900000000000027</v>
      </c>
      <c r="V59" s="127">
        <f t="shared" si="7"/>
        <v>2.780000000000001</v>
      </c>
      <c r="W59" s="127">
        <f t="shared" si="7"/>
        <v>0.6700000000000017</v>
      </c>
    </row>
    <row r="60" spans="1:23" ht="12.75">
      <c r="A60" s="130" t="s">
        <v>15</v>
      </c>
      <c r="B60" s="127"/>
      <c r="C60" s="127"/>
      <c r="D60" s="127"/>
      <c r="E60" s="127"/>
      <c r="F60" s="127"/>
      <c r="G60" s="127"/>
      <c r="H60" s="181"/>
      <c r="I60" s="182" t="s">
        <v>15</v>
      </c>
      <c r="J60" s="127"/>
      <c r="K60" s="127"/>
      <c r="L60" s="127"/>
      <c r="M60" s="127"/>
      <c r="N60" s="127"/>
      <c r="O60" s="127"/>
      <c r="Q60" s="128" t="str">
        <f t="shared" si="6"/>
        <v>LFC/%</v>
      </c>
      <c r="R60" s="127">
        <f t="shared" si="7"/>
        <v>0</v>
      </c>
      <c r="S60" s="127">
        <f t="shared" si="7"/>
        <v>0</v>
      </c>
      <c r="T60" s="127">
        <f t="shared" si="7"/>
        <v>0</v>
      </c>
      <c r="U60" s="127">
        <f t="shared" si="7"/>
        <v>0</v>
      </c>
      <c r="V60" s="127">
        <f t="shared" si="7"/>
        <v>0</v>
      </c>
      <c r="W60" s="127">
        <f t="shared" si="7"/>
        <v>0</v>
      </c>
    </row>
    <row r="61" spans="1:23" ht="12.75">
      <c r="A61" s="134" t="s">
        <v>16</v>
      </c>
      <c r="B61" s="127"/>
      <c r="C61" s="127"/>
      <c r="D61" s="127"/>
      <c r="E61" s="127"/>
      <c r="F61" s="127"/>
      <c r="G61" s="127"/>
      <c r="H61" s="181"/>
      <c r="I61" s="188" t="s">
        <v>16</v>
      </c>
      <c r="J61" s="127"/>
      <c r="K61" s="127"/>
      <c r="L61" s="127"/>
      <c r="M61" s="127"/>
      <c r="N61" s="127"/>
      <c r="O61" s="127"/>
      <c r="Q61" s="128" t="str">
        <f t="shared" si="6"/>
        <v>IACC</v>
      </c>
      <c r="R61" s="127">
        <f t="shared" si="7"/>
        <v>0</v>
      </c>
      <c r="S61" s="127">
        <f t="shared" si="7"/>
        <v>0</v>
      </c>
      <c r="T61" s="127">
        <f t="shared" si="7"/>
        <v>0</v>
      </c>
      <c r="U61" s="127">
        <f t="shared" si="7"/>
        <v>0</v>
      </c>
      <c r="V61" s="127">
        <f t="shared" si="7"/>
        <v>0</v>
      </c>
      <c r="W61" s="127">
        <f t="shared" si="7"/>
        <v>0</v>
      </c>
    </row>
    <row r="62" spans="2:15" ht="12.75">
      <c r="B62" s="127"/>
      <c r="C62" s="127"/>
      <c r="D62" s="127"/>
      <c r="E62" s="127"/>
      <c r="F62" s="127"/>
      <c r="G62" s="127"/>
      <c r="H62" s="171"/>
      <c r="I62" s="160"/>
      <c r="J62" s="127"/>
      <c r="K62" s="127"/>
      <c r="L62" s="127"/>
      <c r="M62" s="127"/>
      <c r="N62" s="127"/>
      <c r="O62" s="127"/>
    </row>
    <row r="63" spans="1:18" ht="12.75">
      <c r="A63" s="155" t="s">
        <v>20</v>
      </c>
      <c r="B63" s="173" t="s">
        <v>2</v>
      </c>
      <c r="C63" s="173" t="s">
        <v>3</v>
      </c>
      <c r="D63" s="174" t="s">
        <v>4</v>
      </c>
      <c r="E63" s="174" t="s">
        <v>5</v>
      </c>
      <c r="F63" s="173" t="s">
        <v>6</v>
      </c>
      <c r="G63" s="174" t="s">
        <v>7</v>
      </c>
      <c r="H63" s="171"/>
      <c r="I63" s="172" t="s">
        <v>20</v>
      </c>
      <c r="J63" s="173" t="s">
        <v>2</v>
      </c>
      <c r="K63" s="173" t="s">
        <v>3</v>
      </c>
      <c r="L63" s="174" t="s">
        <v>4</v>
      </c>
      <c r="M63" s="174" t="s">
        <v>5</v>
      </c>
      <c r="N63" s="173" t="s">
        <v>6</v>
      </c>
      <c r="O63" s="174" t="s">
        <v>7</v>
      </c>
      <c r="Q63" s="128" t="str">
        <f>+A63</f>
        <v>2000 Hz</v>
      </c>
      <c r="R63" s="128" t="str">
        <f>+B63</f>
        <v>S1R1</v>
      </c>
    </row>
    <row r="64" spans="1:23" ht="12.75">
      <c r="A64" s="142"/>
      <c r="B64" s="127"/>
      <c r="C64" s="127"/>
      <c r="D64" s="127"/>
      <c r="E64" s="127"/>
      <c r="F64" s="127"/>
      <c r="G64" s="127"/>
      <c r="H64" s="175"/>
      <c r="I64" s="176"/>
      <c r="J64" s="127"/>
      <c r="K64" s="127"/>
      <c r="L64" s="127"/>
      <c r="M64" s="127"/>
      <c r="N64" s="127"/>
      <c r="O64" s="127"/>
      <c r="Q64" s="128">
        <f>+A64</f>
        <v>0</v>
      </c>
      <c r="R64" s="128">
        <f>+B64</f>
        <v>0</v>
      </c>
      <c r="S64" s="128">
        <f>+C64</f>
        <v>0</v>
      </c>
      <c r="T64" s="128">
        <f>+D64</f>
        <v>0</v>
      </c>
      <c r="U64" s="128">
        <f>+E64</f>
        <v>0</v>
      </c>
      <c r="V64" s="128">
        <f>+F64</f>
        <v>0</v>
      </c>
      <c r="W64" s="128">
        <f>+G64</f>
        <v>0</v>
      </c>
    </row>
    <row r="65" spans="1:23" ht="12.75">
      <c r="A65" s="130" t="s">
        <v>8</v>
      </c>
      <c r="B65" s="127">
        <v>1.14</v>
      </c>
      <c r="C65" s="127">
        <v>1.23</v>
      </c>
      <c r="D65" s="127">
        <v>1.16</v>
      </c>
      <c r="E65" s="127">
        <v>1.19</v>
      </c>
      <c r="F65" s="127">
        <v>1.07</v>
      </c>
      <c r="G65" s="127">
        <v>1.2</v>
      </c>
      <c r="H65" s="181"/>
      <c r="I65" s="182" t="s">
        <v>8</v>
      </c>
      <c r="J65" s="127">
        <v>0.82</v>
      </c>
      <c r="K65" s="127">
        <v>0.65</v>
      </c>
      <c r="L65" s="127">
        <v>0.72</v>
      </c>
      <c r="M65" s="127">
        <v>0.81</v>
      </c>
      <c r="N65" s="127">
        <v>0.68</v>
      </c>
      <c r="O65" s="127">
        <v>0.8</v>
      </c>
      <c r="Q65" s="128" t="str">
        <f aca="true" t="shared" si="8" ref="Q65:Q73">+A65</f>
        <v>T30/s</v>
      </c>
      <c r="R65" s="127">
        <f aca="true" t="shared" si="9" ref="R65:W73">+B65-J65</f>
        <v>0.31999999999999995</v>
      </c>
      <c r="S65" s="127">
        <f t="shared" si="9"/>
        <v>0.58</v>
      </c>
      <c r="T65" s="127">
        <f t="shared" si="9"/>
        <v>0.43999999999999995</v>
      </c>
      <c r="U65" s="127">
        <f t="shared" si="9"/>
        <v>0.3799999999999999</v>
      </c>
      <c r="V65" s="127">
        <f t="shared" si="9"/>
        <v>0.39</v>
      </c>
      <c r="W65" s="127">
        <f t="shared" si="9"/>
        <v>0.3999999999999999</v>
      </c>
    </row>
    <row r="66" spans="1:23" ht="12.75">
      <c r="A66" s="130" t="s">
        <v>9</v>
      </c>
      <c r="B66" s="127">
        <v>1.17</v>
      </c>
      <c r="C66" s="127">
        <v>1.08</v>
      </c>
      <c r="D66" s="127">
        <v>1.2</v>
      </c>
      <c r="E66" s="127">
        <v>1.06</v>
      </c>
      <c r="F66" s="127">
        <v>1.15</v>
      </c>
      <c r="G66" s="127">
        <v>1.06</v>
      </c>
      <c r="H66" s="181"/>
      <c r="I66" s="182" t="s">
        <v>9</v>
      </c>
      <c r="J66" s="127">
        <v>0.78</v>
      </c>
      <c r="K66" s="127">
        <v>0.71</v>
      </c>
      <c r="L66" s="127">
        <v>0.83</v>
      </c>
      <c r="M66" s="127">
        <v>0.72</v>
      </c>
      <c r="N66" s="127">
        <v>0.82</v>
      </c>
      <c r="O66" s="127">
        <v>0.73</v>
      </c>
      <c r="Q66" s="128" t="str">
        <f t="shared" si="8"/>
        <v>EDT/s</v>
      </c>
      <c r="R66" s="127">
        <f t="shared" si="9"/>
        <v>0.3899999999999999</v>
      </c>
      <c r="S66" s="127">
        <f t="shared" si="9"/>
        <v>0.3700000000000001</v>
      </c>
      <c r="T66" s="127">
        <f t="shared" si="9"/>
        <v>0.37</v>
      </c>
      <c r="U66" s="127">
        <f t="shared" si="9"/>
        <v>0.3400000000000001</v>
      </c>
      <c r="V66" s="127">
        <f t="shared" si="9"/>
        <v>0.32999999999999996</v>
      </c>
      <c r="W66" s="127">
        <f t="shared" si="9"/>
        <v>0.33000000000000007</v>
      </c>
    </row>
    <row r="67" spans="1:23" ht="12.75">
      <c r="A67" s="130" t="s">
        <v>10</v>
      </c>
      <c r="B67" s="127">
        <v>44.62</v>
      </c>
      <c r="C67" s="127">
        <v>51.31</v>
      </c>
      <c r="D67" s="127">
        <v>41.76</v>
      </c>
      <c r="E67" s="127">
        <v>51.4</v>
      </c>
      <c r="F67" s="127">
        <v>44.25</v>
      </c>
      <c r="G67" s="127">
        <v>51.33</v>
      </c>
      <c r="H67" s="181"/>
      <c r="I67" s="182" t="s">
        <v>10</v>
      </c>
      <c r="J67" s="127">
        <v>59.21</v>
      </c>
      <c r="K67" s="127">
        <v>65.1</v>
      </c>
      <c r="L67" s="127">
        <v>56.34</v>
      </c>
      <c r="M67" s="127">
        <v>64.39</v>
      </c>
      <c r="N67" s="127">
        <v>56.81</v>
      </c>
      <c r="O67" s="127">
        <v>64.18</v>
      </c>
      <c r="Q67" s="128" t="str">
        <f t="shared" si="8"/>
        <v>D/%</v>
      </c>
      <c r="R67" s="127">
        <f t="shared" si="9"/>
        <v>-14.590000000000003</v>
      </c>
      <c r="S67" s="127">
        <f t="shared" si="9"/>
        <v>-13.789999999999992</v>
      </c>
      <c r="T67" s="127">
        <f t="shared" si="9"/>
        <v>-14.580000000000005</v>
      </c>
      <c r="U67" s="127">
        <f t="shared" si="9"/>
        <v>-12.990000000000002</v>
      </c>
      <c r="V67" s="127">
        <f t="shared" si="9"/>
        <v>-12.560000000000002</v>
      </c>
      <c r="W67" s="127">
        <f t="shared" si="9"/>
        <v>-12.850000000000009</v>
      </c>
    </row>
    <row r="68" spans="1:23" ht="12.75">
      <c r="A68" s="130" t="s">
        <v>11</v>
      </c>
      <c r="B68" s="127">
        <v>2.05</v>
      </c>
      <c r="C68" s="127">
        <v>3.03</v>
      </c>
      <c r="D68" s="127">
        <v>1.63</v>
      </c>
      <c r="E68" s="127">
        <v>3.07</v>
      </c>
      <c r="F68" s="127">
        <v>2</v>
      </c>
      <c r="G68" s="127">
        <v>3.03</v>
      </c>
      <c r="H68" s="181"/>
      <c r="I68" s="182" t="s">
        <v>11</v>
      </c>
      <c r="J68" s="127">
        <v>5.08</v>
      </c>
      <c r="K68" s="127">
        <v>6.04</v>
      </c>
      <c r="L68" s="127">
        <v>4.66</v>
      </c>
      <c r="M68" s="127">
        <v>6.03</v>
      </c>
      <c r="N68" s="127">
        <v>4.71</v>
      </c>
      <c r="O68" s="127">
        <v>5.85</v>
      </c>
      <c r="Q68" s="128" t="str">
        <f t="shared" si="8"/>
        <v>C/dB</v>
      </c>
      <c r="R68" s="127">
        <f t="shared" si="9"/>
        <v>-3.0300000000000002</v>
      </c>
      <c r="S68" s="127">
        <f t="shared" si="9"/>
        <v>-3.0100000000000002</v>
      </c>
      <c r="T68" s="127">
        <f t="shared" si="9"/>
        <v>-3.0300000000000002</v>
      </c>
      <c r="U68" s="127">
        <f t="shared" si="9"/>
        <v>-2.9600000000000004</v>
      </c>
      <c r="V68" s="127">
        <f t="shared" si="9"/>
        <v>-2.71</v>
      </c>
      <c r="W68" s="127">
        <f t="shared" si="9"/>
        <v>-2.82</v>
      </c>
    </row>
    <row r="69" spans="1:23" ht="12.75">
      <c r="A69" s="130" t="s">
        <v>12</v>
      </c>
      <c r="B69" s="127">
        <v>81.75</v>
      </c>
      <c r="C69" s="127">
        <v>71.61</v>
      </c>
      <c r="D69" s="127">
        <v>85.03</v>
      </c>
      <c r="E69" s="127">
        <v>70.46</v>
      </c>
      <c r="F69" s="127">
        <v>81.57</v>
      </c>
      <c r="G69" s="127">
        <v>71.22</v>
      </c>
      <c r="H69" s="181"/>
      <c r="I69" s="182" t="s">
        <v>12</v>
      </c>
      <c r="J69" s="127">
        <v>53.12</v>
      </c>
      <c r="K69" s="127">
        <v>45.84</v>
      </c>
      <c r="L69" s="127">
        <v>56.67</v>
      </c>
      <c r="M69" s="127">
        <v>45.6</v>
      </c>
      <c r="N69" s="127">
        <v>56</v>
      </c>
      <c r="O69" s="127">
        <v>47.11</v>
      </c>
      <c r="Q69" s="128" t="str">
        <f t="shared" si="8"/>
        <v>TS/ms</v>
      </c>
      <c r="R69" s="127">
        <f t="shared" si="9"/>
        <v>28.630000000000003</v>
      </c>
      <c r="S69" s="127">
        <f t="shared" si="9"/>
        <v>25.769999999999996</v>
      </c>
      <c r="T69" s="127">
        <f t="shared" si="9"/>
        <v>28.36</v>
      </c>
      <c r="U69" s="127">
        <f t="shared" si="9"/>
        <v>24.859999999999992</v>
      </c>
      <c r="V69" s="127">
        <f t="shared" si="9"/>
        <v>25.569999999999993</v>
      </c>
      <c r="W69" s="127">
        <f t="shared" si="9"/>
        <v>24.11</v>
      </c>
    </row>
    <row r="70" spans="1:23" ht="12.75">
      <c r="A70" s="130" t="s">
        <v>13</v>
      </c>
      <c r="B70" s="127">
        <v>18.77</v>
      </c>
      <c r="C70" s="127">
        <v>19.91</v>
      </c>
      <c r="D70" s="127">
        <v>18.83</v>
      </c>
      <c r="E70" s="127">
        <v>19.56</v>
      </c>
      <c r="F70" s="127">
        <v>19.03</v>
      </c>
      <c r="G70" s="127">
        <v>19.85</v>
      </c>
      <c r="H70" s="181"/>
      <c r="I70" s="182" t="s">
        <v>13</v>
      </c>
      <c r="J70" s="127">
        <v>16.9</v>
      </c>
      <c r="K70" s="127">
        <v>18.57</v>
      </c>
      <c r="L70" s="127">
        <v>17.1</v>
      </c>
      <c r="M70" s="127">
        <v>17.96</v>
      </c>
      <c r="N70" s="127">
        <v>17.5</v>
      </c>
      <c r="O70" s="127">
        <v>18.62</v>
      </c>
      <c r="Q70" s="128" t="str">
        <f t="shared" si="8"/>
        <v>G/dB</v>
      </c>
      <c r="R70" s="127">
        <f t="shared" si="9"/>
        <v>1.870000000000001</v>
      </c>
      <c r="S70" s="127">
        <f t="shared" si="9"/>
        <v>1.3399999999999999</v>
      </c>
      <c r="T70" s="127">
        <f t="shared" si="9"/>
        <v>1.7299999999999969</v>
      </c>
      <c r="U70" s="127">
        <f t="shared" si="9"/>
        <v>1.5999999999999979</v>
      </c>
      <c r="V70" s="127">
        <f t="shared" si="9"/>
        <v>1.5300000000000011</v>
      </c>
      <c r="W70" s="127">
        <f t="shared" si="9"/>
        <v>1.2300000000000004</v>
      </c>
    </row>
    <row r="71" spans="1:23" ht="12.75">
      <c r="A71" s="130" t="s">
        <v>14</v>
      </c>
      <c r="B71" s="127">
        <v>28.4</v>
      </c>
      <c r="C71" s="127">
        <v>22.82</v>
      </c>
      <c r="D71" s="127">
        <v>23.73</v>
      </c>
      <c r="E71" s="127">
        <v>22.03</v>
      </c>
      <c r="F71" s="127">
        <v>27.89</v>
      </c>
      <c r="G71" s="127">
        <v>24.88</v>
      </c>
      <c r="H71" s="181"/>
      <c r="I71" s="182" t="s">
        <v>14</v>
      </c>
      <c r="J71" s="127">
        <v>23.19</v>
      </c>
      <c r="K71" s="127">
        <v>22.44</v>
      </c>
      <c r="L71" s="127">
        <v>24.12</v>
      </c>
      <c r="M71" s="127">
        <v>18.42</v>
      </c>
      <c r="N71" s="127">
        <v>24.56</v>
      </c>
      <c r="O71" s="127">
        <v>23.64</v>
      </c>
      <c r="Q71" s="128" t="str">
        <f t="shared" si="8"/>
        <v>LF/%</v>
      </c>
      <c r="R71" s="127">
        <f t="shared" si="9"/>
        <v>5.209999999999997</v>
      </c>
      <c r="S71" s="127">
        <f t="shared" si="9"/>
        <v>0.379999999999999</v>
      </c>
      <c r="T71" s="127">
        <f t="shared" si="9"/>
        <v>-0.39000000000000057</v>
      </c>
      <c r="U71" s="127">
        <f t="shared" si="9"/>
        <v>3.6099999999999994</v>
      </c>
      <c r="V71" s="127">
        <f t="shared" si="9"/>
        <v>3.330000000000002</v>
      </c>
      <c r="W71" s="127">
        <f t="shared" si="9"/>
        <v>1.2399999999999984</v>
      </c>
    </row>
    <row r="72" spans="1:23" ht="12.75">
      <c r="A72" s="130" t="s">
        <v>15</v>
      </c>
      <c r="B72" s="127"/>
      <c r="C72" s="127"/>
      <c r="D72" s="127"/>
      <c r="E72" s="127"/>
      <c r="F72" s="127"/>
      <c r="G72" s="127"/>
      <c r="H72" s="181"/>
      <c r="I72" s="182" t="s">
        <v>15</v>
      </c>
      <c r="J72" s="127"/>
      <c r="K72" s="127"/>
      <c r="L72" s="127"/>
      <c r="M72" s="127"/>
      <c r="N72" s="127"/>
      <c r="O72" s="127"/>
      <c r="Q72" s="128" t="str">
        <f t="shared" si="8"/>
        <v>LFC/%</v>
      </c>
      <c r="R72" s="127">
        <f t="shared" si="9"/>
        <v>0</v>
      </c>
      <c r="S72" s="127">
        <f t="shared" si="9"/>
        <v>0</v>
      </c>
      <c r="T72" s="127">
        <f t="shared" si="9"/>
        <v>0</v>
      </c>
      <c r="U72" s="127">
        <f t="shared" si="9"/>
        <v>0</v>
      </c>
      <c r="V72" s="127">
        <f t="shared" si="9"/>
        <v>0</v>
      </c>
      <c r="W72" s="127">
        <f t="shared" si="9"/>
        <v>0</v>
      </c>
    </row>
    <row r="73" spans="1:23" ht="12.75">
      <c r="A73" s="134" t="s">
        <v>16</v>
      </c>
      <c r="B73" s="127"/>
      <c r="C73" s="127"/>
      <c r="D73" s="127"/>
      <c r="E73" s="127"/>
      <c r="F73" s="127"/>
      <c r="G73" s="127"/>
      <c r="H73" s="181"/>
      <c r="I73" s="188" t="s">
        <v>16</v>
      </c>
      <c r="J73" s="127"/>
      <c r="K73" s="127"/>
      <c r="L73" s="127"/>
      <c r="M73" s="127"/>
      <c r="N73" s="127"/>
      <c r="O73" s="127"/>
      <c r="Q73" s="128" t="str">
        <f t="shared" si="8"/>
        <v>IACC</v>
      </c>
      <c r="R73" s="127">
        <f t="shared" si="9"/>
        <v>0</v>
      </c>
      <c r="S73" s="127">
        <f t="shared" si="9"/>
        <v>0</v>
      </c>
      <c r="T73" s="127">
        <f t="shared" si="9"/>
        <v>0</v>
      </c>
      <c r="U73" s="127">
        <f t="shared" si="9"/>
        <v>0</v>
      </c>
      <c r="V73" s="127">
        <f t="shared" si="9"/>
        <v>0</v>
      </c>
      <c r="W73" s="127">
        <f t="shared" si="9"/>
        <v>0</v>
      </c>
    </row>
    <row r="74" spans="2:15" ht="12.75">
      <c r="B74" s="127"/>
      <c r="C74" s="127"/>
      <c r="D74" s="127"/>
      <c r="E74" s="127"/>
      <c r="F74" s="127"/>
      <c r="G74" s="127"/>
      <c r="H74" s="171"/>
      <c r="I74" s="160"/>
      <c r="J74" s="127"/>
      <c r="K74" s="127"/>
      <c r="L74" s="127"/>
      <c r="M74" s="127"/>
      <c r="N74" s="127"/>
      <c r="O74" s="127"/>
    </row>
    <row r="75" spans="1:18" ht="12.75">
      <c r="A75" s="155" t="s">
        <v>21</v>
      </c>
      <c r="B75" s="173" t="s">
        <v>2</v>
      </c>
      <c r="C75" s="173" t="s">
        <v>3</v>
      </c>
      <c r="D75" s="174" t="s">
        <v>4</v>
      </c>
      <c r="E75" s="174" t="s">
        <v>5</v>
      </c>
      <c r="F75" s="173" t="s">
        <v>6</v>
      </c>
      <c r="G75" s="174" t="s">
        <v>7</v>
      </c>
      <c r="H75" s="171"/>
      <c r="I75" s="172" t="s">
        <v>21</v>
      </c>
      <c r="J75" s="173" t="s">
        <v>2</v>
      </c>
      <c r="K75" s="173" t="s">
        <v>3</v>
      </c>
      <c r="L75" s="174" t="s">
        <v>4</v>
      </c>
      <c r="M75" s="174" t="s">
        <v>5</v>
      </c>
      <c r="N75" s="173" t="s">
        <v>6</v>
      </c>
      <c r="O75" s="174" t="s">
        <v>7</v>
      </c>
      <c r="Q75" s="128" t="str">
        <f>+A75</f>
        <v>4000 Hz</v>
      </c>
      <c r="R75" s="128" t="str">
        <f>+B75</f>
        <v>S1R1</v>
      </c>
    </row>
    <row r="76" spans="1:23" ht="12.75">
      <c r="A76" s="142"/>
      <c r="B76" s="127"/>
      <c r="C76" s="127"/>
      <c r="D76" s="127"/>
      <c r="E76" s="127"/>
      <c r="F76" s="127"/>
      <c r="G76" s="127"/>
      <c r="H76" s="175"/>
      <c r="I76" s="176"/>
      <c r="J76" s="127"/>
      <c r="K76" s="127"/>
      <c r="L76" s="127"/>
      <c r="M76" s="127"/>
      <c r="N76" s="127"/>
      <c r="O76" s="127"/>
      <c r="Q76" s="128">
        <f>+A76</f>
        <v>0</v>
      </c>
      <c r="R76" s="128">
        <f>+B76</f>
        <v>0</v>
      </c>
      <c r="S76" s="128">
        <f>+C76</f>
        <v>0</v>
      </c>
      <c r="T76" s="128">
        <f>+D76</f>
        <v>0</v>
      </c>
      <c r="U76" s="128">
        <f>+E76</f>
        <v>0</v>
      </c>
      <c r="V76" s="128">
        <f>+F76</f>
        <v>0</v>
      </c>
      <c r="W76" s="128">
        <f>+G76</f>
        <v>0</v>
      </c>
    </row>
    <row r="77" spans="1:23" ht="12.75">
      <c r="A77" s="130" t="s">
        <v>8</v>
      </c>
      <c r="B77" s="127">
        <v>0.93</v>
      </c>
      <c r="C77" s="127">
        <v>1</v>
      </c>
      <c r="D77" s="127">
        <v>0.98</v>
      </c>
      <c r="E77" s="127">
        <v>1.02</v>
      </c>
      <c r="F77" s="127">
        <v>0.99</v>
      </c>
      <c r="G77" s="127">
        <v>1</v>
      </c>
      <c r="H77" s="181"/>
      <c r="I77" s="182" t="s">
        <v>8</v>
      </c>
      <c r="J77" s="127">
        <v>0.57</v>
      </c>
      <c r="K77" s="127">
        <v>0.63</v>
      </c>
      <c r="L77" s="127">
        <v>0.66</v>
      </c>
      <c r="M77" s="127">
        <v>0.61</v>
      </c>
      <c r="N77" s="127">
        <v>0.61</v>
      </c>
      <c r="O77" s="127">
        <v>0.57</v>
      </c>
      <c r="Q77" s="128" t="str">
        <f aca="true" t="shared" si="10" ref="Q77:Q85">+A77</f>
        <v>T30/s</v>
      </c>
      <c r="R77" s="127">
        <f aca="true" t="shared" si="11" ref="R77:W85">+B77-J77</f>
        <v>0.3600000000000001</v>
      </c>
      <c r="S77" s="127">
        <f t="shared" si="11"/>
        <v>0.37</v>
      </c>
      <c r="T77" s="127">
        <f t="shared" si="11"/>
        <v>0.31999999999999995</v>
      </c>
      <c r="U77" s="127">
        <f t="shared" si="11"/>
        <v>0.41000000000000003</v>
      </c>
      <c r="V77" s="127">
        <f t="shared" si="11"/>
        <v>0.38</v>
      </c>
      <c r="W77" s="127">
        <f t="shared" si="11"/>
        <v>0.43000000000000005</v>
      </c>
    </row>
    <row r="78" spans="1:23" ht="12.75">
      <c r="A78" s="130" t="s">
        <v>9</v>
      </c>
      <c r="B78" s="127">
        <v>0.98</v>
      </c>
      <c r="C78" s="127">
        <v>0.9</v>
      </c>
      <c r="D78" s="127">
        <v>1</v>
      </c>
      <c r="E78" s="127">
        <v>0.88</v>
      </c>
      <c r="F78" s="127">
        <v>0.97</v>
      </c>
      <c r="G78" s="127">
        <v>0.88</v>
      </c>
      <c r="H78" s="181"/>
      <c r="I78" s="182" t="s">
        <v>9</v>
      </c>
      <c r="J78" s="127">
        <v>0.65</v>
      </c>
      <c r="K78" s="127">
        <v>0.59</v>
      </c>
      <c r="L78" s="127">
        <v>0.69</v>
      </c>
      <c r="M78" s="127">
        <v>0.59</v>
      </c>
      <c r="N78" s="127">
        <v>0.69</v>
      </c>
      <c r="O78" s="127">
        <v>0.6</v>
      </c>
      <c r="Q78" s="128" t="str">
        <f t="shared" si="10"/>
        <v>EDT/s</v>
      </c>
      <c r="R78" s="127">
        <f t="shared" si="11"/>
        <v>0.32999999999999996</v>
      </c>
      <c r="S78" s="127">
        <f t="shared" si="11"/>
        <v>0.31000000000000005</v>
      </c>
      <c r="T78" s="127">
        <f t="shared" si="11"/>
        <v>0.31000000000000005</v>
      </c>
      <c r="U78" s="127">
        <f t="shared" si="11"/>
        <v>0.29000000000000004</v>
      </c>
      <c r="V78" s="127">
        <f t="shared" si="11"/>
        <v>0.28</v>
      </c>
      <c r="W78" s="127">
        <f t="shared" si="11"/>
        <v>0.28</v>
      </c>
    </row>
    <row r="79" spans="1:23" ht="12.75">
      <c r="A79" s="130" t="s">
        <v>10</v>
      </c>
      <c r="B79" s="127">
        <v>52.4</v>
      </c>
      <c r="C79" s="127">
        <v>58.52</v>
      </c>
      <c r="D79" s="127">
        <v>50.05</v>
      </c>
      <c r="E79" s="127">
        <v>58.6</v>
      </c>
      <c r="F79" s="127">
        <v>50.43</v>
      </c>
      <c r="G79" s="127">
        <v>58.63</v>
      </c>
      <c r="H79" s="181"/>
      <c r="I79" s="182" t="s">
        <v>10</v>
      </c>
      <c r="J79" s="127">
        <v>67.8</v>
      </c>
      <c r="K79" s="127">
        <v>72.51</v>
      </c>
      <c r="L79" s="127">
        <v>65.53</v>
      </c>
      <c r="M79" s="127">
        <v>71.68</v>
      </c>
      <c r="N79" s="127">
        <v>63.87</v>
      </c>
      <c r="O79" s="127">
        <v>71.71</v>
      </c>
      <c r="Q79" s="128" t="str">
        <f t="shared" si="10"/>
        <v>D/%</v>
      </c>
      <c r="R79" s="127">
        <f t="shared" si="11"/>
        <v>-15.399999999999999</v>
      </c>
      <c r="S79" s="127">
        <f t="shared" si="11"/>
        <v>-13.990000000000002</v>
      </c>
      <c r="T79" s="127">
        <f t="shared" si="11"/>
        <v>-15.480000000000004</v>
      </c>
      <c r="U79" s="127">
        <f t="shared" si="11"/>
        <v>-13.080000000000005</v>
      </c>
      <c r="V79" s="127">
        <f t="shared" si="11"/>
        <v>-13.439999999999998</v>
      </c>
      <c r="W79" s="127">
        <f t="shared" si="11"/>
        <v>-13.079999999999991</v>
      </c>
    </row>
    <row r="80" spans="1:23" ht="12.75">
      <c r="A80" s="130" t="s">
        <v>11</v>
      </c>
      <c r="B80" s="127">
        <v>3.51</v>
      </c>
      <c r="C80" s="127">
        <v>4.47</v>
      </c>
      <c r="D80" s="127">
        <v>3.12</v>
      </c>
      <c r="E80" s="127">
        <v>4.49</v>
      </c>
      <c r="F80" s="127">
        <v>3.24</v>
      </c>
      <c r="G80" s="127">
        <v>4.47</v>
      </c>
      <c r="H80" s="181"/>
      <c r="I80" s="182" t="s">
        <v>11</v>
      </c>
      <c r="J80" s="127">
        <v>6.91</v>
      </c>
      <c r="K80" s="127">
        <v>7.86</v>
      </c>
      <c r="L80" s="127">
        <v>6.54</v>
      </c>
      <c r="M80" s="127">
        <v>7.8</v>
      </c>
      <c r="N80" s="127">
        <v>6.25</v>
      </c>
      <c r="O80" s="127">
        <v>7.65</v>
      </c>
      <c r="Q80" s="128" t="str">
        <f t="shared" si="10"/>
        <v>C/dB</v>
      </c>
      <c r="R80" s="127">
        <f t="shared" si="11"/>
        <v>-3.4000000000000004</v>
      </c>
      <c r="S80" s="127">
        <f t="shared" si="11"/>
        <v>-3.3900000000000006</v>
      </c>
      <c r="T80" s="127">
        <f t="shared" si="11"/>
        <v>-3.42</v>
      </c>
      <c r="U80" s="127">
        <f t="shared" si="11"/>
        <v>-3.3099999999999996</v>
      </c>
      <c r="V80" s="127">
        <f t="shared" si="11"/>
        <v>-3.01</v>
      </c>
      <c r="W80" s="127">
        <f t="shared" si="11"/>
        <v>-3.1800000000000006</v>
      </c>
    </row>
    <row r="81" spans="1:23" ht="12.75">
      <c r="A81" s="130" t="s">
        <v>12</v>
      </c>
      <c r="B81" s="127">
        <v>66.52</v>
      </c>
      <c r="C81" s="127">
        <v>57.91</v>
      </c>
      <c r="D81" s="127">
        <v>69.31</v>
      </c>
      <c r="E81" s="127">
        <v>57.03</v>
      </c>
      <c r="F81" s="127">
        <v>68.37</v>
      </c>
      <c r="G81" s="127">
        <v>57.72</v>
      </c>
      <c r="H81" s="181"/>
      <c r="I81" s="182" t="s">
        <v>12</v>
      </c>
      <c r="J81" s="127">
        <v>42.37</v>
      </c>
      <c r="K81" s="127">
        <v>36.48</v>
      </c>
      <c r="L81" s="127">
        <v>45.13</v>
      </c>
      <c r="M81" s="127">
        <v>36.31</v>
      </c>
      <c r="N81" s="127">
        <v>46.23</v>
      </c>
      <c r="O81" s="127">
        <v>37.71</v>
      </c>
      <c r="Q81" s="128" t="str">
        <f t="shared" si="10"/>
        <v>TS/ms</v>
      </c>
      <c r="R81" s="127">
        <f t="shared" si="11"/>
        <v>24.15</v>
      </c>
      <c r="S81" s="127">
        <f t="shared" si="11"/>
        <v>21.43</v>
      </c>
      <c r="T81" s="127">
        <f t="shared" si="11"/>
        <v>24.18</v>
      </c>
      <c r="U81" s="127">
        <f t="shared" si="11"/>
        <v>20.72</v>
      </c>
      <c r="V81" s="127">
        <f t="shared" si="11"/>
        <v>22.140000000000008</v>
      </c>
      <c r="W81" s="127">
        <f t="shared" si="11"/>
        <v>20.009999999999998</v>
      </c>
    </row>
    <row r="82" spans="1:23" ht="12.75">
      <c r="A82" s="130" t="s">
        <v>13</v>
      </c>
      <c r="B82" s="127">
        <v>18.07</v>
      </c>
      <c r="C82" s="127">
        <v>19.29</v>
      </c>
      <c r="D82" s="127">
        <v>18.12</v>
      </c>
      <c r="E82" s="127">
        <v>18.94</v>
      </c>
      <c r="F82" s="127">
        <v>18.17</v>
      </c>
      <c r="G82" s="127">
        <v>19.24</v>
      </c>
      <c r="H82" s="181"/>
      <c r="I82" s="182" t="s">
        <v>13</v>
      </c>
      <c r="J82" s="127">
        <v>16.24</v>
      </c>
      <c r="K82" s="127">
        <v>18.03</v>
      </c>
      <c r="L82" s="127">
        <v>16.44</v>
      </c>
      <c r="M82" s="127">
        <v>17.35</v>
      </c>
      <c r="N82" s="127">
        <v>16.64</v>
      </c>
      <c r="O82" s="127">
        <v>18.07</v>
      </c>
      <c r="Q82" s="128" t="str">
        <f t="shared" si="10"/>
        <v>G/dB</v>
      </c>
      <c r="R82" s="127">
        <f t="shared" si="11"/>
        <v>1.8300000000000018</v>
      </c>
      <c r="S82" s="127">
        <f t="shared" si="11"/>
        <v>1.259999999999998</v>
      </c>
      <c r="T82" s="127">
        <f t="shared" si="11"/>
        <v>1.6799999999999997</v>
      </c>
      <c r="U82" s="127">
        <f t="shared" si="11"/>
        <v>1.5899999999999999</v>
      </c>
      <c r="V82" s="127">
        <f t="shared" si="11"/>
        <v>1.5300000000000011</v>
      </c>
      <c r="W82" s="127">
        <f t="shared" si="11"/>
        <v>1.1699999999999982</v>
      </c>
    </row>
    <row r="83" spans="1:23" ht="12.75">
      <c r="A83" s="130" t="s">
        <v>14</v>
      </c>
      <c r="B83" s="127">
        <v>27.03</v>
      </c>
      <c r="C83" s="127">
        <v>22.14</v>
      </c>
      <c r="D83" s="127">
        <v>23.87</v>
      </c>
      <c r="E83" s="127">
        <v>21.79</v>
      </c>
      <c r="F83" s="127">
        <v>27.29</v>
      </c>
      <c r="G83" s="127">
        <v>24.3</v>
      </c>
      <c r="H83" s="181"/>
      <c r="I83" s="182" t="s">
        <v>14</v>
      </c>
      <c r="J83" s="127">
        <v>21.14</v>
      </c>
      <c r="K83" s="127">
        <v>21.55</v>
      </c>
      <c r="L83" s="127">
        <v>23.71</v>
      </c>
      <c r="M83" s="127">
        <v>17.05</v>
      </c>
      <c r="N83" s="127">
        <v>23.62</v>
      </c>
      <c r="O83" s="127">
        <v>22.76</v>
      </c>
      <c r="Q83" s="128" t="str">
        <f t="shared" si="10"/>
        <v>LF/%</v>
      </c>
      <c r="R83" s="127">
        <f t="shared" si="11"/>
        <v>5.890000000000001</v>
      </c>
      <c r="S83" s="127">
        <f t="shared" si="11"/>
        <v>0.5899999999999999</v>
      </c>
      <c r="T83" s="127">
        <f t="shared" si="11"/>
        <v>0.16000000000000014</v>
      </c>
      <c r="U83" s="127">
        <f t="shared" si="11"/>
        <v>4.739999999999998</v>
      </c>
      <c r="V83" s="127">
        <f t="shared" si="11"/>
        <v>3.669999999999998</v>
      </c>
      <c r="W83" s="127">
        <f t="shared" si="11"/>
        <v>1.5399999999999991</v>
      </c>
    </row>
    <row r="84" spans="1:23" ht="12.75">
      <c r="A84" s="130" t="s">
        <v>15</v>
      </c>
      <c r="B84" s="131"/>
      <c r="C84" s="125"/>
      <c r="D84" s="125"/>
      <c r="E84" s="125"/>
      <c r="F84" s="125"/>
      <c r="G84" s="129"/>
      <c r="H84" s="125"/>
      <c r="I84" s="130" t="s">
        <v>15</v>
      </c>
      <c r="J84" s="131"/>
      <c r="K84" s="125"/>
      <c r="L84" s="125"/>
      <c r="M84" s="125"/>
      <c r="N84" s="125"/>
      <c r="O84" s="129"/>
      <c r="Q84" s="128" t="str">
        <f t="shared" si="10"/>
        <v>LFC/%</v>
      </c>
      <c r="R84" s="127">
        <f t="shared" si="11"/>
        <v>0</v>
      </c>
      <c r="S84" s="127">
        <f t="shared" si="11"/>
        <v>0</v>
      </c>
      <c r="T84" s="127">
        <f t="shared" si="11"/>
        <v>0</v>
      </c>
      <c r="U84" s="127">
        <f t="shared" si="11"/>
        <v>0</v>
      </c>
      <c r="V84" s="127">
        <f t="shared" si="11"/>
        <v>0</v>
      </c>
      <c r="W84" s="127">
        <f t="shared" si="11"/>
        <v>0</v>
      </c>
    </row>
    <row r="85" spans="1:23" ht="12.75">
      <c r="A85" s="134" t="s">
        <v>16</v>
      </c>
      <c r="B85" s="135"/>
      <c r="C85" s="132"/>
      <c r="D85" s="132"/>
      <c r="E85" s="132"/>
      <c r="F85" s="132"/>
      <c r="G85" s="133"/>
      <c r="H85" s="125"/>
      <c r="I85" s="134" t="s">
        <v>16</v>
      </c>
      <c r="J85" s="135"/>
      <c r="K85" s="132"/>
      <c r="L85" s="132"/>
      <c r="M85" s="132"/>
      <c r="N85" s="132"/>
      <c r="O85" s="133"/>
      <c r="Q85" s="128" t="str">
        <f t="shared" si="10"/>
        <v>IACC</v>
      </c>
      <c r="R85" s="127">
        <f t="shared" si="11"/>
        <v>0</v>
      </c>
      <c r="S85" s="127">
        <f t="shared" si="11"/>
        <v>0</v>
      </c>
      <c r="T85" s="127">
        <f t="shared" si="11"/>
        <v>0</v>
      </c>
      <c r="U85" s="127">
        <f t="shared" si="11"/>
        <v>0</v>
      </c>
      <c r="V85" s="127">
        <f t="shared" si="11"/>
        <v>0</v>
      </c>
      <c r="W85" s="127">
        <f t="shared" si="11"/>
        <v>0</v>
      </c>
    </row>
    <row r="86" spans="5:15" ht="12.75">
      <c r="E86" s="136"/>
      <c r="F86" s="136"/>
      <c r="G86" s="136"/>
      <c r="H86" s="136"/>
      <c r="M86" s="136"/>
      <c r="N86" s="136"/>
      <c r="O86" s="136"/>
    </row>
    <row r="87" spans="5:15" ht="12.75">
      <c r="E87" s="136"/>
      <c r="F87" s="136"/>
      <c r="G87" s="136"/>
      <c r="H87" s="136"/>
      <c r="M87" s="136"/>
      <c r="N87" s="136"/>
      <c r="O87" s="136"/>
    </row>
    <row r="88" spans="1:15" ht="12.75">
      <c r="A88" s="146"/>
      <c r="E88" s="136"/>
      <c r="F88" s="136"/>
      <c r="G88" s="136"/>
      <c r="H88" s="136"/>
      <c r="I88" s="146"/>
      <c r="M88" s="136"/>
      <c r="N88" s="136"/>
      <c r="O88" s="136"/>
    </row>
    <row r="89" spans="5:15" ht="12.75">
      <c r="E89" s="136"/>
      <c r="F89" s="136"/>
      <c r="G89" s="136"/>
      <c r="H89" s="136"/>
      <c r="M89" s="136"/>
      <c r="N89" s="136"/>
      <c r="O89" s="136"/>
    </row>
    <row r="90" spans="5:15" ht="12.75">
      <c r="E90" s="136"/>
      <c r="F90" s="136"/>
      <c r="G90" s="136"/>
      <c r="H90" s="136"/>
      <c r="M90" s="136"/>
      <c r="N90" s="136"/>
      <c r="O90" s="136"/>
    </row>
    <row r="91" spans="5:15" ht="12.75">
      <c r="E91" s="136"/>
      <c r="F91" s="136"/>
      <c r="G91" s="136"/>
      <c r="H91" s="136"/>
      <c r="M91" s="136"/>
      <c r="N91" s="136"/>
      <c r="O91" s="136"/>
    </row>
    <row r="92" spans="5:15" ht="12.75">
      <c r="E92" s="136"/>
      <c r="F92" s="136"/>
      <c r="G92" s="136"/>
      <c r="H92" s="136"/>
      <c r="M92" s="136"/>
      <c r="N92" s="136"/>
      <c r="O92" s="136"/>
    </row>
    <row r="93" spans="5:15" ht="12.75">
      <c r="E93" s="136"/>
      <c r="F93" s="136"/>
      <c r="G93" s="136"/>
      <c r="H93" s="136"/>
      <c r="M93" s="136"/>
      <c r="N93" s="136"/>
      <c r="O93" s="136"/>
    </row>
  </sheetData>
  <printOptions/>
  <pageMargins left="0.75" right="0.75" top="1" bottom="1" header="0.4921259845" footer="0.4921259845"/>
  <pageSetup fitToHeight="1" fitToWidth="1" horizontalDpi="300" verticalDpi="300" orientation="portrait" paperSize="9" scale="45" r:id="rId1"/>
  <headerFooter alignWithMargins="0">
    <oddHeader>&amp;C&amp;A</oddHeader>
    <oddFooter>&amp;LPTB 1.401&amp;CSeite &amp;P&amp;R&amp;D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Y93"/>
  <sheetViews>
    <sheetView zoomScale="75" zoomScaleNormal="75" workbookViewId="0" topLeftCell="A1">
      <selection activeCell="F37" sqref="F37"/>
    </sheetView>
  </sheetViews>
  <sheetFormatPr defaultColWidth="11.5546875" defaultRowHeight="15"/>
  <cols>
    <col min="1" max="1" width="7.77734375" style="128" customWidth="1"/>
    <col min="2" max="16" width="6.77734375" style="128" customWidth="1"/>
    <col min="17" max="17" width="11.5546875" style="128" customWidth="1" collapsed="1"/>
    <col min="18" max="16384" width="11.5546875" style="128" customWidth="1"/>
  </cols>
  <sheetData>
    <row r="1" spans="1:10" ht="13.5" thickBot="1">
      <c r="A1" s="233"/>
      <c r="B1" s="233"/>
      <c r="C1" s="233"/>
      <c r="D1" s="233"/>
      <c r="E1" s="233"/>
      <c r="F1" s="233"/>
      <c r="G1" s="233"/>
      <c r="H1" s="233"/>
      <c r="I1" s="233"/>
      <c r="J1" s="233"/>
    </row>
    <row r="2" spans="1:2" ht="13.5" thickBot="1">
      <c r="A2" s="29"/>
      <c r="B2" s="30"/>
    </row>
    <row r="5" spans="1:7" ht="12.75">
      <c r="A5" s="150"/>
      <c r="B5" s="151"/>
      <c r="C5" s="151"/>
      <c r="D5" s="152"/>
      <c r="G5" s="150"/>
    </row>
    <row r="6" spans="1:3" ht="12" customHeight="1">
      <c r="A6" s="153"/>
      <c r="B6" s="151"/>
      <c r="C6" s="151"/>
    </row>
    <row r="7" spans="2:3" ht="12.75">
      <c r="B7" s="151"/>
      <c r="C7" s="151"/>
    </row>
    <row r="8" spans="1:3" ht="12.75">
      <c r="A8" s="150"/>
      <c r="B8" s="151"/>
      <c r="C8" s="151"/>
    </row>
    <row r="12" spans="1:2" ht="12.75">
      <c r="A12" s="239"/>
      <c r="B12" s="239"/>
    </row>
    <row r="14" spans="1:17" ht="12.75">
      <c r="A14" s="128" t="s">
        <v>27</v>
      </c>
      <c r="I14" s="128" t="s">
        <v>28</v>
      </c>
      <c r="Q14" s="128" t="s">
        <v>32</v>
      </c>
    </row>
    <row r="15" spans="1:18" ht="12.75">
      <c r="A15" s="137" t="s">
        <v>0</v>
      </c>
      <c r="B15" s="138" t="s">
        <v>1</v>
      </c>
      <c r="E15" s="136"/>
      <c r="F15" s="136"/>
      <c r="G15" s="136"/>
      <c r="H15" s="136"/>
      <c r="I15" s="137" t="s">
        <v>0</v>
      </c>
      <c r="J15" s="138" t="s">
        <v>1</v>
      </c>
      <c r="M15" s="136"/>
      <c r="N15" s="136"/>
      <c r="O15" s="136"/>
      <c r="Q15" s="128" t="str">
        <f>+A15</f>
        <v>125 Hz</v>
      </c>
      <c r="R15" s="128" t="str">
        <f>+B15</f>
        <v>octave</v>
      </c>
    </row>
    <row r="16" spans="1:25" ht="12.75">
      <c r="A16" s="142"/>
      <c r="B16" s="140" t="s">
        <v>2</v>
      </c>
      <c r="C16" s="140" t="s">
        <v>3</v>
      </c>
      <c r="D16" s="139" t="s">
        <v>4</v>
      </c>
      <c r="E16" s="139" t="s">
        <v>5</v>
      </c>
      <c r="F16" s="140" t="s">
        <v>6</v>
      </c>
      <c r="G16" s="139" t="s">
        <v>7</v>
      </c>
      <c r="H16" s="141"/>
      <c r="I16" s="142"/>
      <c r="J16" s="140" t="s">
        <v>2</v>
      </c>
      <c r="K16" s="140" t="s">
        <v>3</v>
      </c>
      <c r="L16" s="139" t="s">
        <v>4</v>
      </c>
      <c r="M16" s="139" t="s">
        <v>5</v>
      </c>
      <c r="N16" s="140" t="s">
        <v>6</v>
      </c>
      <c r="O16" s="139" t="s">
        <v>7</v>
      </c>
      <c r="P16" s="157"/>
      <c r="Q16" s="128">
        <f>+A16</f>
        <v>0</v>
      </c>
      <c r="R16" s="128" t="str">
        <f>+B16</f>
        <v>S1R1</v>
      </c>
      <c r="S16" s="128" t="str">
        <f>+C16</f>
        <v>S1R2</v>
      </c>
      <c r="T16" s="128" t="str">
        <f>+D16</f>
        <v>S1R3</v>
      </c>
      <c r="U16" s="128" t="str">
        <f>+E16</f>
        <v>S2R1</v>
      </c>
      <c r="V16" s="128" t="str">
        <f>+F16</f>
        <v>S2R2</v>
      </c>
      <c r="W16" s="128" t="str">
        <f>+G16</f>
        <v>S2R3</v>
      </c>
      <c r="X16" s="157"/>
      <c r="Y16" s="157"/>
    </row>
    <row r="17" spans="1:25" ht="12.75">
      <c r="A17" s="130" t="s">
        <v>8</v>
      </c>
      <c r="B17" s="145">
        <v>1.043</v>
      </c>
      <c r="C17" s="143">
        <v>1.156</v>
      </c>
      <c r="D17" s="143">
        <v>1.103</v>
      </c>
      <c r="E17" s="125">
        <v>0.996</v>
      </c>
      <c r="F17" s="143">
        <v>1.117</v>
      </c>
      <c r="G17" s="144">
        <v>0.965</v>
      </c>
      <c r="H17" s="125"/>
      <c r="I17" s="130" t="s">
        <v>8</v>
      </c>
      <c r="J17" s="145">
        <v>0.766</v>
      </c>
      <c r="K17" s="143">
        <v>0.814</v>
      </c>
      <c r="L17" s="143">
        <v>0.806</v>
      </c>
      <c r="M17" s="125">
        <v>0.696</v>
      </c>
      <c r="N17" s="143">
        <v>0.816</v>
      </c>
      <c r="O17" s="144">
        <v>0.729</v>
      </c>
      <c r="P17" s="158"/>
      <c r="Q17" s="128" t="str">
        <f aca="true" t="shared" si="0" ref="Q17:Q25">+A17</f>
        <v>T30/s</v>
      </c>
      <c r="R17" s="127">
        <f aca="true" t="shared" si="1" ref="R17:W25">+B17-J17</f>
        <v>0.2769999999999999</v>
      </c>
      <c r="S17" s="127">
        <f t="shared" si="1"/>
        <v>0.34199999999999997</v>
      </c>
      <c r="T17" s="127">
        <f t="shared" si="1"/>
        <v>0.29699999999999993</v>
      </c>
      <c r="U17" s="127">
        <f t="shared" si="1"/>
        <v>0.30000000000000004</v>
      </c>
      <c r="V17" s="127">
        <f t="shared" si="1"/>
        <v>0.30100000000000005</v>
      </c>
      <c r="W17" s="127">
        <f t="shared" si="1"/>
        <v>0.236</v>
      </c>
      <c r="X17" s="280"/>
      <c r="Y17" s="280"/>
    </row>
    <row r="18" spans="1:25" ht="12.75">
      <c r="A18" s="130" t="s">
        <v>9</v>
      </c>
      <c r="B18" s="131">
        <v>0.815</v>
      </c>
      <c r="C18" s="125">
        <v>0.931</v>
      </c>
      <c r="D18" s="125">
        <v>0.885</v>
      </c>
      <c r="E18" s="125">
        <v>0.775</v>
      </c>
      <c r="F18" s="125">
        <v>0.848</v>
      </c>
      <c r="G18" s="129">
        <v>0.845</v>
      </c>
      <c r="H18" s="125"/>
      <c r="I18" s="130" t="s">
        <v>9</v>
      </c>
      <c r="J18" s="131">
        <v>0.664</v>
      </c>
      <c r="K18" s="125">
        <v>0.753</v>
      </c>
      <c r="L18" s="125">
        <v>0.725</v>
      </c>
      <c r="M18" s="125">
        <v>0.668</v>
      </c>
      <c r="N18" s="125">
        <v>0.72</v>
      </c>
      <c r="O18" s="129">
        <v>0.729</v>
      </c>
      <c r="P18" s="158"/>
      <c r="Q18" s="128" t="str">
        <f t="shared" si="0"/>
        <v>EDT/s</v>
      </c>
      <c r="R18" s="127">
        <f t="shared" si="1"/>
        <v>0.1509999999999999</v>
      </c>
      <c r="S18" s="127">
        <f t="shared" si="1"/>
        <v>0.17800000000000005</v>
      </c>
      <c r="T18" s="127">
        <f t="shared" si="1"/>
        <v>0.16000000000000003</v>
      </c>
      <c r="U18" s="127">
        <f t="shared" si="1"/>
        <v>0.10699999999999998</v>
      </c>
      <c r="V18" s="127">
        <f t="shared" si="1"/>
        <v>0.128</v>
      </c>
      <c r="W18" s="127">
        <f t="shared" si="1"/>
        <v>0.11599999999999999</v>
      </c>
      <c r="X18" s="280"/>
      <c r="Y18" s="280"/>
    </row>
    <row r="19" spans="1:25" ht="12.75">
      <c r="A19" s="130" t="s">
        <v>10</v>
      </c>
      <c r="B19" s="131">
        <v>65.486</v>
      </c>
      <c r="C19" s="125">
        <v>59.941</v>
      </c>
      <c r="D19" s="125">
        <v>64.183</v>
      </c>
      <c r="E19" s="125">
        <v>63.078</v>
      </c>
      <c r="F19" s="125">
        <v>77.688</v>
      </c>
      <c r="G19" s="129">
        <v>69.067</v>
      </c>
      <c r="H19" s="125"/>
      <c r="I19" s="130" t="s">
        <v>10</v>
      </c>
      <c r="J19" s="131">
        <v>68.32</v>
      </c>
      <c r="K19" s="125">
        <v>63.24</v>
      </c>
      <c r="L19" s="125">
        <v>64.43</v>
      </c>
      <c r="M19" s="125">
        <v>64.81</v>
      </c>
      <c r="N19" s="125">
        <v>66.879</v>
      </c>
      <c r="O19" s="129">
        <v>69.308</v>
      </c>
      <c r="P19" s="158"/>
      <c r="Q19" s="128" t="str">
        <f t="shared" si="0"/>
        <v>D/%</v>
      </c>
      <c r="R19" s="127">
        <f t="shared" si="1"/>
        <v>-2.833999999999989</v>
      </c>
      <c r="S19" s="127">
        <f t="shared" si="1"/>
        <v>-3.2989999999999995</v>
      </c>
      <c r="T19" s="127">
        <f t="shared" si="1"/>
        <v>-0.2469999999999999</v>
      </c>
      <c r="U19" s="127">
        <f t="shared" si="1"/>
        <v>-1.7319999999999993</v>
      </c>
      <c r="V19" s="127">
        <f t="shared" si="1"/>
        <v>10.808999999999997</v>
      </c>
      <c r="W19" s="127">
        <f t="shared" si="1"/>
        <v>-0.24100000000001387</v>
      </c>
      <c r="X19" s="280"/>
      <c r="Y19" s="280"/>
    </row>
    <row r="20" spans="1:25" ht="12.75">
      <c r="A20" s="130" t="s">
        <v>11</v>
      </c>
      <c r="B20" s="131">
        <v>5.764</v>
      </c>
      <c r="C20" s="125">
        <v>4.707</v>
      </c>
      <c r="D20" s="125">
        <v>5.287</v>
      </c>
      <c r="E20" s="125">
        <v>5.793</v>
      </c>
      <c r="F20" s="125">
        <v>5.418</v>
      </c>
      <c r="G20" s="129">
        <v>5.964</v>
      </c>
      <c r="H20" s="125"/>
      <c r="I20" s="130" t="s">
        <v>11</v>
      </c>
      <c r="J20" s="131">
        <v>6.601</v>
      </c>
      <c r="K20" s="125">
        <v>5.854</v>
      </c>
      <c r="L20" s="125">
        <v>6.207</v>
      </c>
      <c r="M20" s="125">
        <v>6.643</v>
      </c>
      <c r="N20" s="125">
        <v>6.264</v>
      </c>
      <c r="O20" s="129">
        <v>6.857</v>
      </c>
      <c r="P20" s="158"/>
      <c r="Q20" s="128" t="str">
        <f t="shared" si="0"/>
        <v>C/dB</v>
      </c>
      <c r="R20" s="127">
        <f t="shared" si="1"/>
        <v>-0.8369999999999997</v>
      </c>
      <c r="S20" s="127">
        <f t="shared" si="1"/>
        <v>-1.1470000000000002</v>
      </c>
      <c r="T20" s="127">
        <f t="shared" si="1"/>
        <v>-0.9199999999999999</v>
      </c>
      <c r="U20" s="127">
        <f t="shared" si="1"/>
        <v>-0.8499999999999996</v>
      </c>
      <c r="V20" s="127">
        <f t="shared" si="1"/>
        <v>-0.8460000000000001</v>
      </c>
      <c r="W20" s="127">
        <f t="shared" si="1"/>
        <v>-0.8929999999999998</v>
      </c>
      <c r="X20" s="280"/>
      <c r="Y20" s="280"/>
    </row>
    <row r="21" spans="1:25" ht="12.75">
      <c r="A21" s="130" t="s">
        <v>12</v>
      </c>
      <c r="B21" s="131">
        <v>52.127</v>
      </c>
      <c r="C21" s="125">
        <v>59.139</v>
      </c>
      <c r="D21" s="125">
        <v>56.661</v>
      </c>
      <c r="E21" s="125">
        <v>52.438</v>
      </c>
      <c r="F21" s="125">
        <v>54.317</v>
      </c>
      <c r="G21" s="129">
        <v>48.127</v>
      </c>
      <c r="H21" s="125"/>
      <c r="I21" s="130" t="s">
        <v>12</v>
      </c>
      <c r="J21" s="131">
        <v>46.738</v>
      </c>
      <c r="K21" s="125">
        <v>51.906</v>
      </c>
      <c r="L21" s="125">
        <v>50.392</v>
      </c>
      <c r="M21" s="125">
        <v>46.182</v>
      </c>
      <c r="N21" s="125">
        <v>47.07</v>
      </c>
      <c r="O21" s="129">
        <v>42.99</v>
      </c>
      <c r="P21" s="158"/>
      <c r="Q21" s="128" t="str">
        <f t="shared" si="0"/>
        <v>TS/ms</v>
      </c>
      <c r="R21" s="127">
        <f t="shared" si="1"/>
        <v>5.389000000000003</v>
      </c>
      <c r="S21" s="127">
        <f t="shared" si="1"/>
        <v>7.233000000000004</v>
      </c>
      <c r="T21" s="127">
        <f t="shared" si="1"/>
        <v>6.268999999999998</v>
      </c>
      <c r="U21" s="127">
        <f t="shared" si="1"/>
        <v>6.256</v>
      </c>
      <c r="V21" s="127">
        <f t="shared" si="1"/>
        <v>7.247</v>
      </c>
      <c r="W21" s="127">
        <f t="shared" si="1"/>
        <v>5.1370000000000005</v>
      </c>
      <c r="X21" s="280"/>
      <c r="Y21" s="280"/>
    </row>
    <row r="22" spans="1:25" ht="12.75">
      <c r="A22" s="130" t="s">
        <v>13</v>
      </c>
      <c r="B22" s="131">
        <f>18.15</f>
        <v>18.15</v>
      </c>
      <c r="C22" s="125">
        <f>19.393</f>
        <v>19.393</v>
      </c>
      <c r="D22" s="125">
        <f>18.315</f>
        <v>18.315</v>
      </c>
      <c r="E22" s="125">
        <f>19.3</f>
        <v>19.3</v>
      </c>
      <c r="F22" s="125">
        <f>17.892</f>
        <v>17.892</v>
      </c>
      <c r="G22" s="129">
        <f>19.252</f>
        <v>19.252</v>
      </c>
      <c r="H22" s="125"/>
      <c r="I22" s="130" t="s">
        <v>13</v>
      </c>
      <c r="J22" s="131">
        <f>18.461</f>
        <v>18.461</v>
      </c>
      <c r="K22" s="125">
        <f>19.145</f>
        <v>19.145</v>
      </c>
      <c r="L22" s="125">
        <f>18.179</f>
        <v>18.179</v>
      </c>
      <c r="M22" s="125">
        <f>20.005</f>
        <v>20.005</v>
      </c>
      <c r="N22" s="125">
        <f>17.903</f>
        <v>17.903</v>
      </c>
      <c r="O22" s="129">
        <f>19.255</f>
        <v>19.255</v>
      </c>
      <c r="P22" s="158"/>
      <c r="Q22" s="128" t="str">
        <f t="shared" si="0"/>
        <v>G/dB</v>
      </c>
      <c r="R22" s="127">
        <f t="shared" si="1"/>
        <v>-0.31099999999999994</v>
      </c>
      <c r="S22" s="127">
        <f t="shared" si="1"/>
        <v>0.2480000000000011</v>
      </c>
      <c r="T22" s="127">
        <f t="shared" si="1"/>
        <v>0.13600000000000279</v>
      </c>
      <c r="U22" s="127">
        <f t="shared" si="1"/>
        <v>-0.7049999999999983</v>
      </c>
      <c r="V22" s="127">
        <f t="shared" si="1"/>
        <v>-0.010999999999999233</v>
      </c>
      <c r="W22" s="127">
        <f t="shared" si="1"/>
        <v>-0.0030000000000001137</v>
      </c>
      <c r="X22" s="280"/>
      <c r="Y22" s="280"/>
    </row>
    <row r="23" spans="1:23" ht="12.75">
      <c r="A23" s="130" t="s">
        <v>14</v>
      </c>
      <c r="B23" s="131">
        <v>35.296</v>
      </c>
      <c r="C23" s="125">
        <v>26.621</v>
      </c>
      <c r="D23" s="125">
        <v>36.762</v>
      </c>
      <c r="E23" s="125">
        <v>36.069</v>
      </c>
      <c r="F23" s="125">
        <v>33.084</v>
      </c>
      <c r="G23" s="129">
        <v>33.791</v>
      </c>
      <c r="H23" s="125"/>
      <c r="I23" s="130" t="s">
        <v>14</v>
      </c>
      <c r="J23" s="131">
        <v>35.171</v>
      </c>
      <c r="K23" s="125">
        <v>35</v>
      </c>
      <c r="L23" s="125">
        <v>40.486</v>
      </c>
      <c r="M23" s="125">
        <v>33.051</v>
      </c>
      <c r="N23" s="125">
        <v>31.439</v>
      </c>
      <c r="O23" s="129">
        <v>33.927</v>
      </c>
      <c r="Q23" s="128" t="str">
        <f t="shared" si="0"/>
        <v>LF/%</v>
      </c>
      <c r="R23" s="127">
        <f t="shared" si="1"/>
        <v>0.125</v>
      </c>
      <c r="S23" s="127">
        <f t="shared" si="1"/>
        <v>-8.379000000000001</v>
      </c>
      <c r="T23" s="127">
        <f t="shared" si="1"/>
        <v>-3.7239999999999966</v>
      </c>
      <c r="U23" s="127">
        <f t="shared" si="1"/>
        <v>3.0180000000000007</v>
      </c>
      <c r="V23" s="127">
        <f t="shared" si="1"/>
        <v>1.6450000000000031</v>
      </c>
      <c r="W23" s="127">
        <f t="shared" si="1"/>
        <v>-0.13600000000000279</v>
      </c>
    </row>
    <row r="24" spans="1:23" ht="12.75">
      <c r="A24" s="130" t="s">
        <v>15</v>
      </c>
      <c r="B24" s="131">
        <v>35.296</v>
      </c>
      <c r="C24" s="125">
        <v>26.621</v>
      </c>
      <c r="D24" s="125">
        <v>36.762</v>
      </c>
      <c r="E24" s="125">
        <v>36.069</v>
      </c>
      <c r="F24" s="125">
        <v>33.084</v>
      </c>
      <c r="G24" s="129">
        <v>33.791</v>
      </c>
      <c r="H24" s="125"/>
      <c r="I24" s="130" t="s">
        <v>15</v>
      </c>
      <c r="J24" s="131">
        <v>35.171</v>
      </c>
      <c r="K24" s="125">
        <v>35</v>
      </c>
      <c r="L24" s="125">
        <v>40.486</v>
      </c>
      <c r="M24" s="125">
        <v>33.051</v>
      </c>
      <c r="N24" s="125">
        <v>31.439</v>
      </c>
      <c r="O24" s="129">
        <v>33.927</v>
      </c>
      <c r="Q24" s="128" t="str">
        <f t="shared" si="0"/>
        <v>LFC/%</v>
      </c>
      <c r="R24" s="127">
        <f t="shared" si="1"/>
        <v>0.125</v>
      </c>
      <c r="S24" s="127">
        <f t="shared" si="1"/>
        <v>-8.379000000000001</v>
      </c>
      <c r="T24" s="127">
        <f t="shared" si="1"/>
        <v>-3.7239999999999966</v>
      </c>
      <c r="U24" s="127">
        <f t="shared" si="1"/>
        <v>3.0180000000000007</v>
      </c>
      <c r="V24" s="127">
        <f t="shared" si="1"/>
        <v>1.6450000000000031</v>
      </c>
      <c r="W24" s="127">
        <f t="shared" si="1"/>
        <v>-0.13600000000000279</v>
      </c>
    </row>
    <row r="25" spans="1:23" ht="12.75">
      <c r="A25" s="134" t="s">
        <v>16</v>
      </c>
      <c r="B25" s="135">
        <v>0.9</v>
      </c>
      <c r="C25" s="132">
        <v>0.717</v>
      </c>
      <c r="D25" s="132">
        <v>0.854</v>
      </c>
      <c r="E25" s="132">
        <v>0.788</v>
      </c>
      <c r="F25" s="132">
        <v>0.903</v>
      </c>
      <c r="G25" s="133">
        <v>0.673</v>
      </c>
      <c r="H25" s="125"/>
      <c r="I25" s="134" t="s">
        <v>16</v>
      </c>
      <c r="J25" s="135">
        <v>0.739</v>
      </c>
      <c r="K25" s="132">
        <v>0.554</v>
      </c>
      <c r="L25" s="132">
        <v>0.887</v>
      </c>
      <c r="M25" s="132">
        <v>0.803</v>
      </c>
      <c r="N25" s="132">
        <v>0.813</v>
      </c>
      <c r="O25" s="133">
        <v>0.607</v>
      </c>
      <c r="Q25" s="128" t="str">
        <f t="shared" si="0"/>
        <v>IACC</v>
      </c>
      <c r="R25" s="127">
        <f t="shared" si="1"/>
        <v>0.16100000000000003</v>
      </c>
      <c r="S25" s="127">
        <f t="shared" si="1"/>
        <v>0.16299999999999992</v>
      </c>
      <c r="T25" s="127">
        <f t="shared" si="1"/>
        <v>-0.03300000000000003</v>
      </c>
      <c r="U25" s="127">
        <f t="shared" si="1"/>
        <v>-0.015000000000000013</v>
      </c>
      <c r="V25" s="127">
        <f t="shared" si="1"/>
        <v>0.09000000000000008</v>
      </c>
      <c r="W25" s="127">
        <f t="shared" si="1"/>
        <v>0.06600000000000006</v>
      </c>
    </row>
    <row r="26" spans="5:15" ht="12.75">
      <c r="E26" s="136"/>
      <c r="F26" s="136"/>
      <c r="G26" s="136"/>
      <c r="H26" s="136"/>
      <c r="M26" s="136"/>
      <c r="N26" s="136"/>
      <c r="O26" s="136"/>
    </row>
    <row r="27" spans="1:18" ht="12.75">
      <c r="A27" s="137" t="s">
        <v>17</v>
      </c>
      <c r="B27" s="138" t="s">
        <v>1</v>
      </c>
      <c r="E27" s="136"/>
      <c r="F27" s="136"/>
      <c r="G27" s="136"/>
      <c r="H27" s="136"/>
      <c r="I27" s="137" t="s">
        <v>17</v>
      </c>
      <c r="J27" s="138" t="s">
        <v>1</v>
      </c>
      <c r="M27" s="136"/>
      <c r="N27" s="136"/>
      <c r="O27" s="136"/>
      <c r="Q27" s="128" t="str">
        <f>+A27</f>
        <v>250 Hz</v>
      </c>
      <c r="R27" s="128" t="str">
        <f>+B27</f>
        <v>octave</v>
      </c>
    </row>
    <row r="28" spans="1:23" ht="12.75">
      <c r="A28" s="142"/>
      <c r="B28" s="140" t="s">
        <v>2</v>
      </c>
      <c r="C28" s="140" t="s">
        <v>3</v>
      </c>
      <c r="D28" s="139" t="s">
        <v>4</v>
      </c>
      <c r="E28" s="139" t="s">
        <v>5</v>
      </c>
      <c r="F28" s="140" t="s">
        <v>6</v>
      </c>
      <c r="G28" s="139" t="s">
        <v>7</v>
      </c>
      <c r="H28" s="141"/>
      <c r="I28" s="142"/>
      <c r="J28" s="140" t="s">
        <v>2</v>
      </c>
      <c r="K28" s="140" t="s">
        <v>3</v>
      </c>
      <c r="L28" s="139" t="s">
        <v>4</v>
      </c>
      <c r="M28" s="139" t="s">
        <v>5</v>
      </c>
      <c r="N28" s="140" t="s">
        <v>6</v>
      </c>
      <c r="O28" s="139" t="s">
        <v>7</v>
      </c>
      <c r="Q28" s="128">
        <f>+A28</f>
        <v>0</v>
      </c>
      <c r="R28" s="128" t="str">
        <f>+B28</f>
        <v>S1R1</v>
      </c>
      <c r="S28" s="128" t="str">
        <f>+C28</f>
        <v>S1R2</v>
      </c>
      <c r="T28" s="128" t="str">
        <f>+D28</f>
        <v>S1R3</v>
      </c>
      <c r="U28" s="128" t="str">
        <f>+E28</f>
        <v>S2R1</v>
      </c>
      <c r="V28" s="128" t="str">
        <f>+F28</f>
        <v>S2R2</v>
      </c>
      <c r="W28" s="128" t="str">
        <f>+G28</f>
        <v>S2R3</v>
      </c>
    </row>
    <row r="29" spans="1:23" ht="12.75">
      <c r="A29" s="130" t="s">
        <v>8</v>
      </c>
      <c r="B29" s="145">
        <v>1.073</v>
      </c>
      <c r="C29" s="143">
        <v>1.241</v>
      </c>
      <c r="D29" s="143">
        <v>1.192</v>
      </c>
      <c r="E29" s="125">
        <v>0.994</v>
      </c>
      <c r="F29" s="143">
        <v>1.151</v>
      </c>
      <c r="G29" s="144">
        <v>1.017</v>
      </c>
      <c r="H29" s="125"/>
      <c r="I29" s="130" t="s">
        <v>8</v>
      </c>
      <c r="J29" s="145">
        <v>0.666</v>
      </c>
      <c r="K29" s="143">
        <v>0.703</v>
      </c>
      <c r="L29" s="143">
        <v>0.697</v>
      </c>
      <c r="M29" s="125">
        <v>0.621</v>
      </c>
      <c r="N29" s="143">
        <v>0.691</v>
      </c>
      <c r="O29" s="144">
        <v>0.633</v>
      </c>
      <c r="Q29" s="128" t="str">
        <f aca="true" t="shared" si="2" ref="Q29:Q37">+A29</f>
        <v>T30/s</v>
      </c>
      <c r="R29" s="127">
        <f aca="true" t="shared" si="3" ref="R29:W37">+B29-J29</f>
        <v>0.4069999999999999</v>
      </c>
      <c r="S29" s="127">
        <f t="shared" si="3"/>
        <v>0.5380000000000001</v>
      </c>
      <c r="T29" s="127">
        <f t="shared" si="3"/>
        <v>0.495</v>
      </c>
      <c r="U29" s="127">
        <f t="shared" si="3"/>
        <v>0.373</v>
      </c>
      <c r="V29" s="127">
        <f t="shared" si="3"/>
        <v>0.4600000000000001</v>
      </c>
      <c r="W29" s="127">
        <f t="shared" si="3"/>
        <v>0.3839999999999999</v>
      </c>
    </row>
    <row r="30" spans="1:23" ht="12.75">
      <c r="A30" s="130" t="s">
        <v>9</v>
      </c>
      <c r="B30" s="131">
        <v>0.965</v>
      </c>
      <c r="C30" s="125">
        <v>1.073</v>
      </c>
      <c r="D30" s="125">
        <v>1.012</v>
      </c>
      <c r="E30" s="125">
        <v>0.893</v>
      </c>
      <c r="F30" s="125">
        <v>0.969</v>
      </c>
      <c r="G30" s="129">
        <v>0.958</v>
      </c>
      <c r="H30" s="125"/>
      <c r="I30" s="130" t="s">
        <v>9</v>
      </c>
      <c r="J30" s="131">
        <v>0.671</v>
      </c>
      <c r="K30" s="125">
        <v>0.72</v>
      </c>
      <c r="L30" s="125">
        <v>0.701</v>
      </c>
      <c r="M30" s="125">
        <v>0.675</v>
      </c>
      <c r="N30" s="125">
        <v>0.702</v>
      </c>
      <c r="O30" s="129">
        <v>0.694</v>
      </c>
      <c r="Q30" s="128" t="str">
        <f t="shared" si="2"/>
        <v>EDT/s</v>
      </c>
      <c r="R30" s="127">
        <f t="shared" si="3"/>
        <v>0.29399999999999993</v>
      </c>
      <c r="S30" s="127">
        <f t="shared" si="3"/>
        <v>0.353</v>
      </c>
      <c r="T30" s="127">
        <f t="shared" si="3"/>
        <v>0.31100000000000005</v>
      </c>
      <c r="U30" s="127">
        <f t="shared" si="3"/>
        <v>0.21799999999999997</v>
      </c>
      <c r="V30" s="127">
        <f t="shared" si="3"/>
        <v>0.267</v>
      </c>
      <c r="W30" s="127">
        <f t="shared" si="3"/>
        <v>0.264</v>
      </c>
    </row>
    <row r="31" spans="1:23" ht="12.75">
      <c r="A31" s="130" t="s">
        <v>10</v>
      </c>
      <c r="B31" s="131">
        <v>59.819</v>
      </c>
      <c r="C31" s="125">
        <v>54.52</v>
      </c>
      <c r="D31" s="125">
        <v>57.758</v>
      </c>
      <c r="E31" s="125">
        <v>57.19</v>
      </c>
      <c r="F31" s="125">
        <v>72.361</v>
      </c>
      <c r="G31" s="129">
        <v>63.42</v>
      </c>
      <c r="H31" s="125"/>
      <c r="I31" s="130" t="s">
        <v>10</v>
      </c>
      <c r="J31" s="131">
        <v>68.239</v>
      </c>
      <c r="K31" s="125">
        <v>64.737</v>
      </c>
      <c r="L31" s="125">
        <v>65.173</v>
      </c>
      <c r="M31" s="125">
        <v>65.75</v>
      </c>
      <c r="N31" s="125">
        <v>67.151</v>
      </c>
      <c r="O31" s="129">
        <v>69.87</v>
      </c>
      <c r="Q31" s="128" t="str">
        <f t="shared" si="2"/>
        <v>D/%</v>
      </c>
      <c r="R31" s="127">
        <f t="shared" si="3"/>
        <v>-8.420000000000002</v>
      </c>
      <c r="S31" s="127">
        <f t="shared" si="3"/>
        <v>-10.216999999999992</v>
      </c>
      <c r="T31" s="127">
        <f t="shared" si="3"/>
        <v>-7.414999999999999</v>
      </c>
      <c r="U31" s="127">
        <f t="shared" si="3"/>
        <v>-8.560000000000002</v>
      </c>
      <c r="V31" s="127">
        <f t="shared" si="3"/>
        <v>5.210000000000008</v>
      </c>
      <c r="W31" s="127">
        <f t="shared" si="3"/>
        <v>-6.450000000000003</v>
      </c>
    </row>
    <row r="32" spans="1:23" ht="12.75">
      <c r="A32" s="130" t="s">
        <v>11</v>
      </c>
      <c r="B32" s="131">
        <v>4.468</v>
      </c>
      <c r="C32" s="125">
        <v>3.647</v>
      </c>
      <c r="D32" s="125">
        <v>4.083</v>
      </c>
      <c r="E32" s="125">
        <v>4.625</v>
      </c>
      <c r="F32" s="125">
        <v>4.18</v>
      </c>
      <c r="G32" s="129">
        <v>4.755</v>
      </c>
      <c r="H32" s="125"/>
      <c r="I32" s="130" t="s">
        <v>11</v>
      </c>
      <c r="J32" s="131">
        <v>6.577</v>
      </c>
      <c r="K32" s="125">
        <v>6.014</v>
      </c>
      <c r="L32" s="125">
        <v>6.358</v>
      </c>
      <c r="M32" s="125">
        <v>6.668</v>
      </c>
      <c r="N32" s="125">
        <v>6.392</v>
      </c>
      <c r="O32" s="129">
        <v>7.081</v>
      </c>
      <c r="Q32" s="128" t="str">
        <f t="shared" si="2"/>
        <v>C/dB</v>
      </c>
      <c r="R32" s="127">
        <f t="shared" si="3"/>
        <v>-2.109</v>
      </c>
      <c r="S32" s="127">
        <f t="shared" si="3"/>
        <v>-2.3670000000000004</v>
      </c>
      <c r="T32" s="127">
        <f t="shared" si="3"/>
        <v>-2.2749999999999995</v>
      </c>
      <c r="U32" s="127">
        <f t="shared" si="3"/>
        <v>-2.043</v>
      </c>
      <c r="V32" s="127">
        <f t="shared" si="3"/>
        <v>-2.2120000000000006</v>
      </c>
      <c r="W32" s="127">
        <f t="shared" si="3"/>
        <v>-2.3260000000000005</v>
      </c>
    </row>
    <row r="33" spans="1:23" ht="12.75">
      <c r="A33" s="130" t="s">
        <v>12</v>
      </c>
      <c r="B33" s="131">
        <v>61.092</v>
      </c>
      <c r="C33" s="125">
        <v>68.862</v>
      </c>
      <c r="D33" s="125">
        <v>66.223</v>
      </c>
      <c r="E33" s="125">
        <v>60.824</v>
      </c>
      <c r="F33" s="125">
        <v>63.477</v>
      </c>
      <c r="G33" s="129">
        <v>56.553</v>
      </c>
      <c r="H33" s="125"/>
      <c r="I33" s="130" t="s">
        <v>12</v>
      </c>
      <c r="J33" s="131">
        <v>45.68</v>
      </c>
      <c r="K33" s="125">
        <v>49.332</v>
      </c>
      <c r="L33" s="125">
        <v>48.533</v>
      </c>
      <c r="M33" s="125">
        <v>45.541</v>
      </c>
      <c r="N33" s="125">
        <v>45.931</v>
      </c>
      <c r="O33" s="129">
        <v>42.273</v>
      </c>
      <c r="Q33" s="128" t="str">
        <f t="shared" si="2"/>
        <v>TS/ms</v>
      </c>
      <c r="R33" s="127">
        <f t="shared" si="3"/>
        <v>15.411999999999999</v>
      </c>
      <c r="S33" s="127">
        <f t="shared" si="3"/>
        <v>19.529999999999994</v>
      </c>
      <c r="T33" s="127">
        <f t="shared" si="3"/>
        <v>17.689999999999998</v>
      </c>
      <c r="U33" s="127">
        <f t="shared" si="3"/>
        <v>15.283000000000001</v>
      </c>
      <c r="V33" s="127">
        <f t="shared" si="3"/>
        <v>17.546</v>
      </c>
      <c r="W33" s="127">
        <f t="shared" si="3"/>
        <v>14.279999999999994</v>
      </c>
    </row>
    <row r="34" spans="1:23" ht="12.75">
      <c r="A34" s="130" t="s">
        <v>13</v>
      </c>
      <c r="B34" s="131">
        <f>18.813</f>
        <v>18.813</v>
      </c>
      <c r="C34" s="125">
        <f>20.254</f>
        <v>20.254</v>
      </c>
      <c r="D34" s="125">
        <f>19.068</f>
        <v>19.068</v>
      </c>
      <c r="E34" s="125">
        <f>20.065</f>
        <v>20.065</v>
      </c>
      <c r="F34" s="125">
        <f>18.692</f>
        <v>18.692</v>
      </c>
      <c r="G34" s="129">
        <f>19.898</f>
        <v>19.898</v>
      </c>
      <c r="H34" s="125"/>
      <c r="I34" s="130" t="s">
        <v>13</v>
      </c>
      <c r="J34" s="131">
        <f>18.185</f>
        <v>18.185</v>
      </c>
      <c r="K34" s="125">
        <f>19.189</f>
        <v>19.189</v>
      </c>
      <c r="L34" s="125">
        <f>18.541</f>
        <v>18.541</v>
      </c>
      <c r="M34" s="125">
        <f>19.864</f>
        <v>19.864</v>
      </c>
      <c r="N34" s="125">
        <f>18.077</f>
        <v>18.077</v>
      </c>
      <c r="O34" s="129">
        <f>19.437</f>
        <v>19.437</v>
      </c>
      <c r="Q34" s="128" t="str">
        <f t="shared" si="2"/>
        <v>G/dB</v>
      </c>
      <c r="R34" s="127">
        <f t="shared" si="3"/>
        <v>0.6280000000000001</v>
      </c>
      <c r="S34" s="127">
        <f t="shared" si="3"/>
        <v>1.0650000000000013</v>
      </c>
      <c r="T34" s="127">
        <f t="shared" si="3"/>
        <v>0.527000000000001</v>
      </c>
      <c r="U34" s="127">
        <f t="shared" si="3"/>
        <v>0.2010000000000005</v>
      </c>
      <c r="V34" s="127">
        <f t="shared" si="3"/>
        <v>0.6149999999999984</v>
      </c>
      <c r="W34" s="127">
        <f t="shared" si="3"/>
        <v>0.4609999999999985</v>
      </c>
    </row>
    <row r="35" spans="1:23" ht="12.75">
      <c r="A35" s="130" t="s">
        <v>14</v>
      </c>
      <c r="B35" s="131">
        <v>36.791</v>
      </c>
      <c r="C35" s="125">
        <v>29.525</v>
      </c>
      <c r="D35" s="125">
        <v>36.764</v>
      </c>
      <c r="E35" s="125">
        <v>38.342</v>
      </c>
      <c r="F35" s="125">
        <v>34.072</v>
      </c>
      <c r="G35" s="129">
        <v>34.847</v>
      </c>
      <c r="H35" s="125"/>
      <c r="I35" s="130" t="s">
        <v>14</v>
      </c>
      <c r="J35" s="131">
        <v>35.137</v>
      </c>
      <c r="K35" s="125">
        <v>35.433</v>
      </c>
      <c r="L35" s="125">
        <v>38.175</v>
      </c>
      <c r="M35" s="125">
        <v>32.805</v>
      </c>
      <c r="N35" s="125">
        <v>30.633</v>
      </c>
      <c r="O35" s="129">
        <v>34.373</v>
      </c>
      <c r="Q35" s="128" t="str">
        <f t="shared" si="2"/>
        <v>LF/%</v>
      </c>
      <c r="R35" s="127">
        <f t="shared" si="3"/>
        <v>1.6539999999999964</v>
      </c>
      <c r="S35" s="127">
        <f t="shared" si="3"/>
        <v>-5.908000000000001</v>
      </c>
      <c r="T35" s="127">
        <f t="shared" si="3"/>
        <v>-1.4109999999999943</v>
      </c>
      <c r="U35" s="127">
        <f t="shared" si="3"/>
        <v>5.536999999999999</v>
      </c>
      <c r="V35" s="127">
        <f t="shared" si="3"/>
        <v>3.4390000000000036</v>
      </c>
      <c r="W35" s="127">
        <f t="shared" si="3"/>
        <v>0.47400000000000375</v>
      </c>
    </row>
    <row r="36" spans="1:23" ht="12.75">
      <c r="A36" s="130" t="s">
        <v>15</v>
      </c>
      <c r="B36" s="131">
        <v>36.791</v>
      </c>
      <c r="C36" s="125">
        <v>29.525</v>
      </c>
      <c r="D36" s="125">
        <v>36.764</v>
      </c>
      <c r="E36" s="125">
        <v>38.342</v>
      </c>
      <c r="F36" s="125">
        <v>34.072</v>
      </c>
      <c r="G36" s="129">
        <v>34.847</v>
      </c>
      <c r="H36" s="125"/>
      <c r="I36" s="130" t="s">
        <v>15</v>
      </c>
      <c r="J36" s="131">
        <v>35.137</v>
      </c>
      <c r="K36" s="125">
        <v>35.433</v>
      </c>
      <c r="L36" s="125">
        <v>38.175</v>
      </c>
      <c r="M36" s="125">
        <v>32.805</v>
      </c>
      <c r="N36" s="125">
        <v>30.633</v>
      </c>
      <c r="O36" s="129">
        <v>34.373</v>
      </c>
      <c r="Q36" s="128" t="str">
        <f t="shared" si="2"/>
        <v>LFC/%</v>
      </c>
      <c r="R36" s="127">
        <f t="shared" si="3"/>
        <v>1.6539999999999964</v>
      </c>
      <c r="S36" s="127">
        <f t="shared" si="3"/>
        <v>-5.908000000000001</v>
      </c>
      <c r="T36" s="127">
        <f t="shared" si="3"/>
        <v>-1.4109999999999943</v>
      </c>
      <c r="U36" s="127">
        <f t="shared" si="3"/>
        <v>5.536999999999999</v>
      </c>
      <c r="V36" s="127">
        <f t="shared" si="3"/>
        <v>3.4390000000000036</v>
      </c>
      <c r="W36" s="127">
        <f t="shared" si="3"/>
        <v>0.47400000000000375</v>
      </c>
    </row>
    <row r="37" spans="1:23" ht="12.75">
      <c r="A37" s="134" t="s">
        <v>16</v>
      </c>
      <c r="B37" s="135">
        <v>0.448</v>
      </c>
      <c r="C37" s="132">
        <v>0.58</v>
      </c>
      <c r="D37" s="132">
        <v>0.628</v>
      </c>
      <c r="E37" s="132">
        <v>0.271</v>
      </c>
      <c r="F37" s="132">
        <v>0.586</v>
      </c>
      <c r="G37" s="133">
        <v>0.715</v>
      </c>
      <c r="H37" s="125"/>
      <c r="I37" s="134" t="s">
        <v>16</v>
      </c>
      <c r="J37" s="135">
        <v>0.498</v>
      </c>
      <c r="K37" s="132">
        <v>0.443</v>
      </c>
      <c r="L37" s="132">
        <v>0.486</v>
      </c>
      <c r="M37" s="132">
        <v>0.463</v>
      </c>
      <c r="N37" s="132">
        <v>0.708</v>
      </c>
      <c r="O37" s="133">
        <v>0.729</v>
      </c>
      <c r="Q37" s="128" t="str">
        <f t="shared" si="2"/>
        <v>IACC</v>
      </c>
      <c r="R37" s="127">
        <f t="shared" si="3"/>
        <v>-0.04999999999999999</v>
      </c>
      <c r="S37" s="127">
        <f t="shared" si="3"/>
        <v>0.13699999999999996</v>
      </c>
      <c r="T37" s="127">
        <f t="shared" si="3"/>
        <v>0.14200000000000002</v>
      </c>
      <c r="U37" s="127">
        <f t="shared" si="3"/>
        <v>-0.192</v>
      </c>
      <c r="V37" s="127">
        <f t="shared" si="3"/>
        <v>-0.122</v>
      </c>
      <c r="W37" s="127">
        <f t="shared" si="3"/>
        <v>-0.014000000000000012</v>
      </c>
    </row>
    <row r="38" spans="5:15" ht="12.75">
      <c r="E38" s="136"/>
      <c r="F38" s="136"/>
      <c r="G38" s="136"/>
      <c r="H38" s="136"/>
      <c r="M38" s="136"/>
      <c r="N38" s="136"/>
      <c r="O38" s="136"/>
    </row>
    <row r="39" spans="1:18" ht="12.75">
      <c r="A39" s="137" t="s">
        <v>18</v>
      </c>
      <c r="B39" s="138" t="s">
        <v>1</v>
      </c>
      <c r="E39" s="136"/>
      <c r="F39" s="136"/>
      <c r="G39" s="136"/>
      <c r="H39" s="136"/>
      <c r="I39" s="137" t="s">
        <v>18</v>
      </c>
      <c r="J39" s="138" t="s">
        <v>1</v>
      </c>
      <c r="M39" s="136"/>
      <c r="N39" s="136"/>
      <c r="O39" s="136"/>
      <c r="Q39" s="128" t="str">
        <f>+A39</f>
        <v>500 Hz</v>
      </c>
      <c r="R39" s="128" t="str">
        <f>+B39</f>
        <v>octave</v>
      </c>
    </row>
    <row r="40" spans="1:23" ht="12.75">
      <c r="A40" s="142"/>
      <c r="B40" s="140" t="s">
        <v>2</v>
      </c>
      <c r="C40" s="140" t="s">
        <v>3</v>
      </c>
      <c r="D40" s="139" t="s">
        <v>4</v>
      </c>
      <c r="E40" s="139" t="s">
        <v>5</v>
      </c>
      <c r="F40" s="140" t="s">
        <v>6</v>
      </c>
      <c r="G40" s="139" t="s">
        <v>7</v>
      </c>
      <c r="H40" s="141"/>
      <c r="I40" s="142"/>
      <c r="J40" s="140" t="s">
        <v>2</v>
      </c>
      <c r="K40" s="140" t="s">
        <v>3</v>
      </c>
      <c r="L40" s="139" t="s">
        <v>4</v>
      </c>
      <c r="M40" s="139" t="s">
        <v>5</v>
      </c>
      <c r="N40" s="140" t="s">
        <v>6</v>
      </c>
      <c r="O40" s="139" t="s">
        <v>7</v>
      </c>
      <c r="Q40" s="128">
        <f>+A40</f>
        <v>0</v>
      </c>
      <c r="R40" s="128" t="str">
        <f>+B40</f>
        <v>S1R1</v>
      </c>
      <c r="S40" s="128" t="str">
        <f>+C40</f>
        <v>S1R2</v>
      </c>
      <c r="T40" s="128" t="str">
        <f>+D40</f>
        <v>S1R3</v>
      </c>
      <c r="U40" s="128" t="str">
        <f>+E40</f>
        <v>S2R1</v>
      </c>
      <c r="V40" s="128" t="str">
        <f>+F40</f>
        <v>S2R2</v>
      </c>
      <c r="W40" s="128" t="str">
        <f>+G40</f>
        <v>S2R3</v>
      </c>
    </row>
    <row r="41" spans="1:23" ht="12.75">
      <c r="A41" s="130" t="s">
        <v>8</v>
      </c>
      <c r="B41" s="145">
        <v>1.139</v>
      </c>
      <c r="C41" s="143">
        <v>1.345</v>
      </c>
      <c r="D41" s="143">
        <v>1.303</v>
      </c>
      <c r="E41" s="125">
        <v>1.078</v>
      </c>
      <c r="F41" s="143">
        <v>1.223</v>
      </c>
      <c r="G41" s="144">
        <v>1.093</v>
      </c>
      <c r="H41" s="125"/>
      <c r="I41" s="130" t="s">
        <v>8</v>
      </c>
      <c r="J41" s="145">
        <v>0.642</v>
      </c>
      <c r="K41" s="143">
        <v>0.683</v>
      </c>
      <c r="L41" s="143">
        <v>0.668</v>
      </c>
      <c r="M41" s="125">
        <v>0.6</v>
      </c>
      <c r="N41" s="143">
        <v>0.659</v>
      </c>
      <c r="O41" s="144">
        <v>0.611</v>
      </c>
      <c r="Q41" s="128" t="str">
        <f aca="true" t="shared" si="4" ref="Q41:Q49">+A41</f>
        <v>T30/s</v>
      </c>
      <c r="R41" s="127">
        <f aca="true" t="shared" si="5" ref="R41:W49">+B41-J41</f>
        <v>0.497</v>
      </c>
      <c r="S41" s="127">
        <f t="shared" si="5"/>
        <v>0.6619999999999999</v>
      </c>
      <c r="T41" s="127">
        <f t="shared" si="5"/>
        <v>0.6349999999999999</v>
      </c>
      <c r="U41" s="127">
        <f t="shared" si="5"/>
        <v>0.4780000000000001</v>
      </c>
      <c r="V41" s="127">
        <f t="shared" si="5"/>
        <v>0.5640000000000001</v>
      </c>
      <c r="W41" s="127">
        <f t="shared" si="5"/>
        <v>0.482</v>
      </c>
    </row>
    <row r="42" spans="1:23" ht="12.75">
      <c r="A42" s="130" t="s">
        <v>9</v>
      </c>
      <c r="B42" s="131">
        <v>0.88</v>
      </c>
      <c r="C42" s="125">
        <v>1.006</v>
      </c>
      <c r="D42" s="125">
        <v>0.924</v>
      </c>
      <c r="E42" s="125">
        <v>0.82</v>
      </c>
      <c r="F42" s="125">
        <v>0.889</v>
      </c>
      <c r="G42" s="129">
        <v>0.859</v>
      </c>
      <c r="H42" s="125"/>
      <c r="I42" s="130" t="s">
        <v>9</v>
      </c>
      <c r="J42" s="131">
        <v>0.615</v>
      </c>
      <c r="K42" s="125">
        <v>0.644</v>
      </c>
      <c r="L42" s="125">
        <v>0.625</v>
      </c>
      <c r="M42" s="125">
        <v>0.607</v>
      </c>
      <c r="N42" s="125">
        <v>0.661</v>
      </c>
      <c r="O42" s="129">
        <v>0.621</v>
      </c>
      <c r="Q42" s="128" t="str">
        <f t="shared" si="4"/>
        <v>EDT/s</v>
      </c>
      <c r="R42" s="127">
        <f t="shared" si="5"/>
        <v>0.265</v>
      </c>
      <c r="S42" s="127">
        <f t="shared" si="5"/>
        <v>0.362</v>
      </c>
      <c r="T42" s="127">
        <f t="shared" si="5"/>
        <v>0.29900000000000004</v>
      </c>
      <c r="U42" s="127">
        <f t="shared" si="5"/>
        <v>0.21299999999999997</v>
      </c>
      <c r="V42" s="127">
        <f t="shared" si="5"/>
        <v>0.22799999999999998</v>
      </c>
      <c r="W42" s="127">
        <f t="shared" si="5"/>
        <v>0.238</v>
      </c>
    </row>
    <row r="43" spans="1:23" ht="12.75">
      <c r="A43" s="130" t="s">
        <v>10</v>
      </c>
      <c r="B43" s="131">
        <v>60.887</v>
      </c>
      <c r="C43" s="125">
        <v>54.641</v>
      </c>
      <c r="D43" s="125">
        <v>58.301</v>
      </c>
      <c r="E43" s="125">
        <v>58.638</v>
      </c>
      <c r="F43" s="125">
        <v>73.674</v>
      </c>
      <c r="G43" s="129">
        <v>65.128</v>
      </c>
      <c r="H43" s="125"/>
      <c r="I43" s="130" t="s">
        <v>10</v>
      </c>
      <c r="J43" s="131">
        <v>69.627</v>
      </c>
      <c r="K43" s="125">
        <v>66.866</v>
      </c>
      <c r="L43" s="125">
        <v>66.945</v>
      </c>
      <c r="M43" s="125">
        <v>67.484</v>
      </c>
      <c r="N43" s="125">
        <v>67.933</v>
      </c>
      <c r="O43" s="129">
        <v>70.908</v>
      </c>
      <c r="Q43" s="128" t="str">
        <f t="shared" si="4"/>
        <v>D/%</v>
      </c>
      <c r="R43" s="127">
        <f t="shared" si="5"/>
        <v>-8.739999999999995</v>
      </c>
      <c r="S43" s="127">
        <f t="shared" si="5"/>
        <v>-12.225000000000001</v>
      </c>
      <c r="T43" s="127">
        <f t="shared" si="5"/>
        <v>-8.643999999999991</v>
      </c>
      <c r="U43" s="127">
        <f t="shared" si="5"/>
        <v>-8.845999999999997</v>
      </c>
      <c r="V43" s="127">
        <f t="shared" si="5"/>
        <v>5.741</v>
      </c>
      <c r="W43" s="127">
        <f t="shared" si="5"/>
        <v>-5.780000000000001</v>
      </c>
    </row>
    <row r="44" spans="1:23" ht="12.75">
      <c r="A44" s="130" t="s">
        <v>11</v>
      </c>
      <c r="B44" s="131">
        <v>4.805</v>
      </c>
      <c r="C44" s="125">
        <v>3.938</v>
      </c>
      <c r="D44" s="125">
        <v>4.432</v>
      </c>
      <c r="E44" s="125">
        <v>5.115</v>
      </c>
      <c r="F44" s="125">
        <v>4.469</v>
      </c>
      <c r="G44" s="129">
        <v>5.333</v>
      </c>
      <c r="H44" s="125"/>
      <c r="I44" s="130" t="s">
        <v>11</v>
      </c>
      <c r="J44" s="131">
        <v>7.075</v>
      </c>
      <c r="K44" s="125">
        <v>6.692</v>
      </c>
      <c r="L44" s="125">
        <v>6.793</v>
      </c>
      <c r="M44" s="125">
        <v>7.344</v>
      </c>
      <c r="N44" s="125">
        <v>6.729</v>
      </c>
      <c r="O44" s="129">
        <v>7.67</v>
      </c>
      <c r="Q44" s="128" t="str">
        <f t="shared" si="4"/>
        <v>C/dB</v>
      </c>
      <c r="R44" s="127">
        <f t="shared" si="5"/>
        <v>-2.2700000000000005</v>
      </c>
      <c r="S44" s="127">
        <f t="shared" si="5"/>
        <v>-2.754</v>
      </c>
      <c r="T44" s="127">
        <f t="shared" si="5"/>
        <v>-2.3609999999999998</v>
      </c>
      <c r="U44" s="127">
        <f t="shared" si="5"/>
        <v>-2.229</v>
      </c>
      <c r="V44" s="127">
        <f t="shared" si="5"/>
        <v>-2.26</v>
      </c>
      <c r="W44" s="127">
        <f t="shared" si="5"/>
        <v>-2.3369999999999997</v>
      </c>
    </row>
    <row r="45" spans="1:23" ht="12.75">
      <c r="A45" s="130" t="s">
        <v>12</v>
      </c>
      <c r="B45" s="131">
        <v>59.387</v>
      </c>
      <c r="C45" s="125">
        <v>68.108</v>
      </c>
      <c r="D45" s="125">
        <v>64.293</v>
      </c>
      <c r="E45" s="125">
        <v>57.878</v>
      </c>
      <c r="F45" s="125">
        <v>61.702</v>
      </c>
      <c r="G45" s="129">
        <v>53.628</v>
      </c>
      <c r="H45" s="125"/>
      <c r="I45" s="130" t="s">
        <v>12</v>
      </c>
      <c r="J45" s="131">
        <v>44.274</v>
      </c>
      <c r="K45" s="125">
        <v>46.451</v>
      </c>
      <c r="L45" s="125">
        <v>46.489</v>
      </c>
      <c r="M45" s="125">
        <v>43.11</v>
      </c>
      <c r="N45" s="125">
        <v>44.665</v>
      </c>
      <c r="O45" s="129">
        <v>40.556</v>
      </c>
      <c r="Q45" s="128" t="str">
        <f t="shared" si="4"/>
        <v>TS/ms</v>
      </c>
      <c r="R45" s="127">
        <f t="shared" si="5"/>
        <v>15.113</v>
      </c>
      <c r="S45" s="127">
        <f t="shared" si="5"/>
        <v>21.657000000000004</v>
      </c>
      <c r="T45" s="127">
        <f t="shared" si="5"/>
        <v>17.80400000000001</v>
      </c>
      <c r="U45" s="127">
        <f t="shared" si="5"/>
        <v>14.768</v>
      </c>
      <c r="V45" s="127">
        <f t="shared" si="5"/>
        <v>17.037</v>
      </c>
      <c r="W45" s="127">
        <f t="shared" si="5"/>
        <v>13.072000000000003</v>
      </c>
    </row>
    <row r="46" spans="1:23" ht="12.75">
      <c r="A46" s="130" t="s">
        <v>13</v>
      </c>
      <c r="B46" s="131">
        <f>19.175</f>
        <v>19.175</v>
      </c>
      <c r="C46" s="125">
        <f>20.719</f>
        <v>20.719</v>
      </c>
      <c r="D46" s="125">
        <f>19.557</f>
        <v>19.557</v>
      </c>
      <c r="E46" s="125">
        <f>20.222</f>
        <v>20.222</v>
      </c>
      <c r="F46" s="125">
        <f>19.05</f>
        <v>19.05</v>
      </c>
      <c r="G46" s="129">
        <f>20.036</f>
        <v>20.036</v>
      </c>
      <c r="H46" s="125"/>
      <c r="I46" s="130" t="s">
        <v>13</v>
      </c>
      <c r="J46" s="131">
        <f>18.558</f>
        <v>18.558</v>
      </c>
      <c r="K46" s="125">
        <f>19.631</f>
        <v>19.631</v>
      </c>
      <c r="L46" s="125">
        <f>18.541</f>
        <v>18.541</v>
      </c>
      <c r="M46" s="125">
        <f>19.975</f>
        <v>19.975</v>
      </c>
      <c r="N46" s="125">
        <f>18.424</f>
        <v>18.424</v>
      </c>
      <c r="O46" s="129">
        <f>19.616</f>
        <v>19.616</v>
      </c>
      <c r="Q46" s="128" t="str">
        <f t="shared" si="4"/>
        <v>G/dB</v>
      </c>
      <c r="R46" s="127">
        <f t="shared" si="5"/>
        <v>0.6170000000000009</v>
      </c>
      <c r="S46" s="127">
        <f t="shared" si="5"/>
        <v>1.088000000000001</v>
      </c>
      <c r="T46" s="127">
        <f t="shared" si="5"/>
        <v>1.0159999999999982</v>
      </c>
      <c r="U46" s="127">
        <f t="shared" si="5"/>
        <v>0.2469999999999999</v>
      </c>
      <c r="V46" s="127">
        <f t="shared" si="5"/>
        <v>0.6260000000000012</v>
      </c>
      <c r="W46" s="127">
        <f t="shared" si="5"/>
        <v>0.4200000000000017</v>
      </c>
    </row>
    <row r="47" spans="1:23" ht="12.75">
      <c r="A47" s="130" t="s">
        <v>14</v>
      </c>
      <c r="B47" s="131">
        <v>36.199</v>
      </c>
      <c r="C47" s="125">
        <v>31.885</v>
      </c>
      <c r="D47" s="125">
        <v>35.676</v>
      </c>
      <c r="E47" s="125">
        <v>37.684</v>
      </c>
      <c r="F47" s="125">
        <v>33.911</v>
      </c>
      <c r="G47" s="129">
        <v>34.994</v>
      </c>
      <c r="H47" s="125"/>
      <c r="I47" s="130" t="s">
        <v>14</v>
      </c>
      <c r="J47" s="131">
        <v>34.544</v>
      </c>
      <c r="K47" s="125">
        <v>37.221</v>
      </c>
      <c r="L47" s="125">
        <v>37.279</v>
      </c>
      <c r="M47" s="125">
        <v>32.159</v>
      </c>
      <c r="N47" s="125">
        <v>30.072</v>
      </c>
      <c r="O47" s="129">
        <v>34.654</v>
      </c>
      <c r="Q47" s="128" t="str">
        <f t="shared" si="4"/>
        <v>LF/%</v>
      </c>
      <c r="R47" s="127">
        <f t="shared" si="5"/>
        <v>1.6550000000000011</v>
      </c>
      <c r="S47" s="127">
        <f t="shared" si="5"/>
        <v>-5.335999999999995</v>
      </c>
      <c r="T47" s="127">
        <f t="shared" si="5"/>
        <v>-1.6030000000000015</v>
      </c>
      <c r="U47" s="127">
        <f t="shared" si="5"/>
        <v>5.524999999999999</v>
      </c>
      <c r="V47" s="127">
        <f t="shared" si="5"/>
        <v>3.839000000000002</v>
      </c>
      <c r="W47" s="127">
        <f t="shared" si="5"/>
        <v>0.3399999999999963</v>
      </c>
    </row>
    <row r="48" spans="1:23" ht="12.75">
      <c r="A48" s="130" t="s">
        <v>15</v>
      </c>
      <c r="B48" s="131">
        <v>36.2</v>
      </c>
      <c r="C48" s="125">
        <v>31.885</v>
      </c>
      <c r="D48" s="125">
        <v>35.676</v>
      </c>
      <c r="E48" s="125">
        <v>37.685</v>
      </c>
      <c r="F48" s="125">
        <v>33.911</v>
      </c>
      <c r="G48" s="129">
        <v>34.994</v>
      </c>
      <c r="H48" s="125"/>
      <c r="I48" s="130" t="s">
        <v>15</v>
      </c>
      <c r="J48" s="131">
        <v>34.544</v>
      </c>
      <c r="K48" s="125">
        <v>37.221</v>
      </c>
      <c r="L48" s="125">
        <v>37.279</v>
      </c>
      <c r="M48" s="125">
        <v>32.16</v>
      </c>
      <c r="N48" s="125">
        <v>30.072</v>
      </c>
      <c r="O48" s="129">
        <v>34.655</v>
      </c>
      <c r="Q48" s="128" t="str">
        <f t="shared" si="4"/>
        <v>LFC/%</v>
      </c>
      <c r="R48" s="127">
        <f t="shared" si="5"/>
        <v>1.656000000000006</v>
      </c>
      <c r="S48" s="127">
        <f t="shared" si="5"/>
        <v>-5.335999999999995</v>
      </c>
      <c r="T48" s="127">
        <f t="shared" si="5"/>
        <v>-1.6030000000000015</v>
      </c>
      <c r="U48" s="127">
        <f t="shared" si="5"/>
        <v>5.525000000000006</v>
      </c>
      <c r="V48" s="127">
        <f t="shared" si="5"/>
        <v>3.839000000000002</v>
      </c>
      <c r="W48" s="127">
        <f t="shared" si="5"/>
        <v>0.33899999999999864</v>
      </c>
    </row>
    <row r="49" spans="1:23" ht="12.75">
      <c r="A49" s="134" t="s">
        <v>16</v>
      </c>
      <c r="B49" s="135">
        <v>0.126</v>
      </c>
      <c r="C49" s="132">
        <v>0.563</v>
      </c>
      <c r="D49" s="132">
        <v>0.458</v>
      </c>
      <c r="E49" s="132">
        <v>0.047</v>
      </c>
      <c r="F49" s="132">
        <v>0.312</v>
      </c>
      <c r="G49" s="133">
        <v>0.321</v>
      </c>
      <c r="H49" s="125"/>
      <c r="I49" s="134" t="s">
        <v>16</v>
      </c>
      <c r="J49" s="135">
        <v>0.097</v>
      </c>
      <c r="K49" s="132">
        <v>0.64</v>
      </c>
      <c r="L49" s="132">
        <v>0.535</v>
      </c>
      <c r="M49" s="132">
        <v>0.011</v>
      </c>
      <c r="N49" s="132">
        <v>0.401</v>
      </c>
      <c r="O49" s="133">
        <v>0.402</v>
      </c>
      <c r="Q49" s="128" t="str">
        <f t="shared" si="4"/>
        <v>IACC</v>
      </c>
      <c r="R49" s="127">
        <f t="shared" si="5"/>
        <v>0.028999999999999998</v>
      </c>
      <c r="S49" s="127">
        <f t="shared" si="5"/>
        <v>-0.07700000000000007</v>
      </c>
      <c r="T49" s="127">
        <f t="shared" si="5"/>
        <v>-0.07700000000000001</v>
      </c>
      <c r="U49" s="127">
        <f t="shared" si="5"/>
        <v>0.036000000000000004</v>
      </c>
      <c r="V49" s="127">
        <f t="shared" si="5"/>
        <v>-0.08900000000000002</v>
      </c>
      <c r="W49" s="127">
        <f t="shared" si="5"/>
        <v>-0.08100000000000002</v>
      </c>
    </row>
    <row r="50" spans="5:23" ht="12.75">
      <c r="E50" s="136"/>
      <c r="F50" s="136"/>
      <c r="G50" s="136"/>
      <c r="H50" s="136"/>
      <c r="M50" s="136"/>
      <c r="N50" s="136"/>
      <c r="O50" s="136"/>
      <c r="R50" s="127"/>
      <c r="S50" s="127"/>
      <c r="T50" s="127"/>
      <c r="U50" s="127"/>
      <c r="V50" s="127"/>
      <c r="W50" s="127"/>
    </row>
    <row r="51" spans="1:18" ht="12.75">
      <c r="A51" s="137" t="s">
        <v>19</v>
      </c>
      <c r="B51" s="138" t="s">
        <v>1</v>
      </c>
      <c r="E51" s="136"/>
      <c r="F51" s="136"/>
      <c r="G51" s="136"/>
      <c r="H51" s="136"/>
      <c r="I51" s="137" t="s">
        <v>19</v>
      </c>
      <c r="J51" s="138" t="s">
        <v>1</v>
      </c>
      <c r="M51" s="136"/>
      <c r="N51" s="136"/>
      <c r="O51" s="136"/>
      <c r="Q51" s="128" t="str">
        <f>+A51</f>
        <v>1000 Hz</v>
      </c>
      <c r="R51" s="128" t="str">
        <f>+B51</f>
        <v>octave</v>
      </c>
    </row>
    <row r="52" spans="1:23" ht="12.75">
      <c r="A52" s="142"/>
      <c r="B52" s="140" t="s">
        <v>2</v>
      </c>
      <c r="C52" s="140" t="s">
        <v>3</v>
      </c>
      <c r="D52" s="139" t="s">
        <v>4</v>
      </c>
      <c r="E52" s="139" t="s">
        <v>5</v>
      </c>
      <c r="F52" s="140" t="s">
        <v>6</v>
      </c>
      <c r="G52" s="139" t="s">
        <v>7</v>
      </c>
      <c r="H52" s="141"/>
      <c r="I52" s="142"/>
      <c r="J52" s="140" t="s">
        <v>2</v>
      </c>
      <c r="K52" s="140" t="s">
        <v>3</v>
      </c>
      <c r="L52" s="139" t="s">
        <v>4</v>
      </c>
      <c r="M52" s="139" t="s">
        <v>5</v>
      </c>
      <c r="N52" s="140" t="s">
        <v>6</v>
      </c>
      <c r="O52" s="139" t="s">
        <v>7</v>
      </c>
      <c r="Q52" s="128">
        <f>+A52</f>
        <v>0</v>
      </c>
      <c r="R52" s="128" t="str">
        <f>+B52</f>
        <v>S1R1</v>
      </c>
      <c r="S52" s="128" t="str">
        <f>+C52</f>
        <v>S1R2</v>
      </c>
      <c r="T52" s="128" t="str">
        <f>+D52</f>
        <v>S1R3</v>
      </c>
      <c r="U52" s="128" t="str">
        <f>+E52</f>
        <v>S2R1</v>
      </c>
      <c r="V52" s="128" t="str">
        <f>+F52</f>
        <v>S2R2</v>
      </c>
      <c r="W52" s="128" t="str">
        <f>+G52</f>
        <v>S2R3</v>
      </c>
    </row>
    <row r="53" spans="1:23" ht="12.75">
      <c r="A53" s="130" t="s">
        <v>8</v>
      </c>
      <c r="B53" s="145">
        <v>1.143</v>
      </c>
      <c r="C53" s="143">
        <v>1.382</v>
      </c>
      <c r="D53" s="143">
        <v>1.326</v>
      </c>
      <c r="E53" s="125">
        <v>1.133</v>
      </c>
      <c r="F53" s="143">
        <v>1.241</v>
      </c>
      <c r="G53" s="144">
        <v>1.11</v>
      </c>
      <c r="H53" s="125"/>
      <c r="I53" s="130" t="s">
        <v>8</v>
      </c>
      <c r="J53" s="145">
        <v>0.592</v>
      </c>
      <c r="K53" s="143">
        <v>0.633</v>
      </c>
      <c r="L53" s="143">
        <v>0.6</v>
      </c>
      <c r="M53" s="125">
        <v>0.561</v>
      </c>
      <c r="N53" s="143">
        <v>0.602</v>
      </c>
      <c r="O53" s="144">
        <v>0.566</v>
      </c>
      <c r="Q53" s="128" t="str">
        <f aca="true" t="shared" si="6" ref="Q53:Q61">+A53</f>
        <v>T30/s</v>
      </c>
      <c r="R53" s="127">
        <f aca="true" t="shared" si="7" ref="R53:W61">+B53-J53</f>
        <v>0.551</v>
      </c>
      <c r="S53" s="127">
        <f t="shared" si="7"/>
        <v>0.7489999999999999</v>
      </c>
      <c r="T53" s="127">
        <f t="shared" si="7"/>
        <v>0.7260000000000001</v>
      </c>
      <c r="U53" s="127">
        <f t="shared" si="7"/>
        <v>0.572</v>
      </c>
      <c r="V53" s="127">
        <f t="shared" si="7"/>
        <v>0.6390000000000001</v>
      </c>
      <c r="W53" s="127">
        <f t="shared" si="7"/>
        <v>0.5440000000000002</v>
      </c>
    </row>
    <row r="54" spans="1:23" ht="12.75">
      <c r="A54" s="130" t="s">
        <v>9</v>
      </c>
      <c r="B54" s="131">
        <v>0.733</v>
      </c>
      <c r="C54" s="125">
        <v>0.847</v>
      </c>
      <c r="D54" s="125">
        <v>0.773</v>
      </c>
      <c r="E54" s="125">
        <v>0.698</v>
      </c>
      <c r="F54" s="125">
        <v>0.744</v>
      </c>
      <c r="G54" s="129">
        <v>0.71</v>
      </c>
      <c r="H54" s="125"/>
      <c r="I54" s="130" t="s">
        <v>9</v>
      </c>
      <c r="J54" s="131">
        <v>0.52</v>
      </c>
      <c r="K54" s="125">
        <v>0.553</v>
      </c>
      <c r="L54" s="125">
        <v>0.54</v>
      </c>
      <c r="M54" s="125">
        <v>0.519</v>
      </c>
      <c r="N54" s="125">
        <v>0.569</v>
      </c>
      <c r="O54" s="129">
        <v>0.516</v>
      </c>
      <c r="Q54" s="128" t="str">
        <f t="shared" si="6"/>
        <v>EDT/s</v>
      </c>
      <c r="R54" s="127">
        <f t="shared" si="7"/>
        <v>0.21299999999999997</v>
      </c>
      <c r="S54" s="127">
        <f t="shared" si="7"/>
        <v>0.29399999999999993</v>
      </c>
      <c r="T54" s="127">
        <f t="shared" si="7"/>
        <v>0.23299999999999998</v>
      </c>
      <c r="U54" s="127">
        <f t="shared" si="7"/>
        <v>0.17899999999999994</v>
      </c>
      <c r="V54" s="127">
        <f t="shared" si="7"/>
        <v>0.17500000000000004</v>
      </c>
      <c r="W54" s="127">
        <f t="shared" si="7"/>
        <v>0.19399999999999995</v>
      </c>
    </row>
    <row r="55" spans="1:23" ht="12.75">
      <c r="A55" s="130" t="s">
        <v>10</v>
      </c>
      <c r="B55" s="131">
        <v>63.451</v>
      </c>
      <c r="C55" s="125">
        <v>57.312</v>
      </c>
      <c r="D55" s="125">
        <v>61.048</v>
      </c>
      <c r="E55" s="125">
        <v>61.35</v>
      </c>
      <c r="F55" s="125">
        <v>77.839</v>
      </c>
      <c r="G55" s="129">
        <v>68.569</v>
      </c>
      <c r="H55" s="125"/>
      <c r="I55" s="130" t="s">
        <v>10</v>
      </c>
      <c r="J55" s="131">
        <v>72.222</v>
      </c>
      <c r="K55" s="125">
        <v>70.186</v>
      </c>
      <c r="L55" s="125">
        <v>69.749</v>
      </c>
      <c r="M55" s="125">
        <v>70.42</v>
      </c>
      <c r="N55" s="125">
        <v>70.325</v>
      </c>
      <c r="O55" s="129">
        <v>73.312</v>
      </c>
      <c r="Q55" s="128" t="str">
        <f t="shared" si="6"/>
        <v>D/%</v>
      </c>
      <c r="R55" s="127">
        <f t="shared" si="7"/>
        <v>-8.770999999999994</v>
      </c>
      <c r="S55" s="127">
        <f t="shared" si="7"/>
        <v>-12.87400000000001</v>
      </c>
      <c r="T55" s="127">
        <f t="shared" si="7"/>
        <v>-8.700999999999993</v>
      </c>
      <c r="U55" s="127">
        <f t="shared" si="7"/>
        <v>-9.07</v>
      </c>
      <c r="V55" s="127">
        <f t="shared" si="7"/>
        <v>7.513999999999996</v>
      </c>
      <c r="W55" s="127">
        <f t="shared" si="7"/>
        <v>-4.742999999999995</v>
      </c>
    </row>
    <row r="56" spans="1:23" ht="12.75">
      <c r="A56" s="130" t="s">
        <v>11</v>
      </c>
      <c r="B56" s="131">
        <v>5.773</v>
      </c>
      <c r="C56" s="125">
        <v>4.854</v>
      </c>
      <c r="D56" s="125">
        <v>5.329</v>
      </c>
      <c r="E56" s="125">
        <v>6.075</v>
      </c>
      <c r="F56" s="125">
        <v>5.456</v>
      </c>
      <c r="G56" s="129">
        <v>6.469</v>
      </c>
      <c r="H56" s="125"/>
      <c r="I56" s="130" t="s">
        <v>11</v>
      </c>
      <c r="J56" s="131">
        <v>8.302</v>
      </c>
      <c r="K56" s="125">
        <v>7.956</v>
      </c>
      <c r="L56" s="125">
        <v>7.829</v>
      </c>
      <c r="M56" s="125">
        <v>8.659</v>
      </c>
      <c r="N56" s="125">
        <v>7.862</v>
      </c>
      <c r="O56" s="129">
        <v>9.021</v>
      </c>
      <c r="Q56" s="128" t="str">
        <f t="shared" si="6"/>
        <v>C/dB</v>
      </c>
      <c r="R56" s="127">
        <f t="shared" si="7"/>
        <v>-2.529</v>
      </c>
      <c r="S56" s="127">
        <f t="shared" si="7"/>
        <v>-3.1020000000000003</v>
      </c>
      <c r="T56" s="127">
        <f t="shared" si="7"/>
        <v>-2.5</v>
      </c>
      <c r="U56" s="127">
        <f t="shared" si="7"/>
        <v>-2.5840000000000005</v>
      </c>
      <c r="V56" s="127">
        <f t="shared" si="7"/>
        <v>-2.4059999999999997</v>
      </c>
      <c r="W56" s="127">
        <f t="shared" si="7"/>
        <v>-2.5520000000000005</v>
      </c>
    </row>
    <row r="57" spans="1:23" ht="13.5" customHeight="1">
      <c r="A57" s="130" t="s">
        <v>12</v>
      </c>
      <c r="B57" s="131">
        <v>54.017</v>
      </c>
      <c r="C57" s="125">
        <v>62.094</v>
      </c>
      <c r="D57" s="125">
        <v>58.502</v>
      </c>
      <c r="E57" s="125">
        <v>52.506</v>
      </c>
      <c r="F57" s="125">
        <v>56.057</v>
      </c>
      <c r="G57" s="129">
        <v>47.855</v>
      </c>
      <c r="H57" s="125"/>
      <c r="I57" s="130" t="s">
        <v>12</v>
      </c>
      <c r="J57" s="131">
        <v>40.867</v>
      </c>
      <c r="K57" s="125">
        <v>41.945</v>
      </c>
      <c r="L57" s="125">
        <v>42.925</v>
      </c>
      <c r="M57" s="125">
        <v>39.036</v>
      </c>
      <c r="N57" s="125">
        <v>41.095</v>
      </c>
      <c r="O57" s="129">
        <v>36.799</v>
      </c>
      <c r="Q57" s="128" t="str">
        <f t="shared" si="6"/>
        <v>TS/ms</v>
      </c>
      <c r="R57" s="127">
        <f t="shared" si="7"/>
        <v>13.150000000000006</v>
      </c>
      <c r="S57" s="127">
        <f t="shared" si="7"/>
        <v>20.149</v>
      </c>
      <c r="T57" s="127">
        <f t="shared" si="7"/>
        <v>15.577000000000005</v>
      </c>
      <c r="U57" s="127">
        <f t="shared" si="7"/>
        <v>13.469999999999999</v>
      </c>
      <c r="V57" s="127">
        <f t="shared" si="7"/>
        <v>14.962000000000003</v>
      </c>
      <c r="W57" s="127">
        <f t="shared" si="7"/>
        <v>11.055999999999997</v>
      </c>
    </row>
    <row r="58" spans="1:23" ht="12" customHeight="1">
      <c r="A58" s="130" t="s">
        <v>13</v>
      </c>
      <c r="B58" s="131">
        <f>19.344</f>
        <v>19.344</v>
      </c>
      <c r="C58" s="125">
        <f>20.855</f>
        <v>20.855</v>
      </c>
      <c r="D58" s="125">
        <f>19.798</f>
        <v>19.798</v>
      </c>
      <c r="E58" s="125">
        <f>20.202</f>
        <v>20.202</v>
      </c>
      <c r="F58" s="125">
        <f>19.167</f>
        <v>19.167</v>
      </c>
      <c r="G58" s="129">
        <f>20.042</f>
        <v>20.042</v>
      </c>
      <c r="H58" s="125"/>
      <c r="I58" s="130" t="s">
        <v>13</v>
      </c>
      <c r="J58" s="131">
        <f>18.725</f>
        <v>18.725</v>
      </c>
      <c r="K58" s="125">
        <f>19.792</f>
        <v>19.792</v>
      </c>
      <c r="L58" s="125">
        <f>18.74</f>
        <v>18.74</v>
      </c>
      <c r="M58" s="125">
        <f>19.915</f>
        <v>19.915</v>
      </c>
      <c r="N58" s="125">
        <f>18.556</f>
        <v>18.556</v>
      </c>
      <c r="O58" s="129">
        <f>19.618</f>
        <v>19.618</v>
      </c>
      <c r="Q58" s="128" t="str">
        <f t="shared" si="6"/>
        <v>G/dB</v>
      </c>
      <c r="R58" s="127">
        <f t="shared" si="7"/>
        <v>0.6189999999999998</v>
      </c>
      <c r="S58" s="127">
        <f t="shared" si="7"/>
        <v>1.0629999999999988</v>
      </c>
      <c r="T58" s="127">
        <f t="shared" si="7"/>
        <v>1.0579999999999998</v>
      </c>
      <c r="U58" s="127">
        <f t="shared" si="7"/>
        <v>0.2870000000000026</v>
      </c>
      <c r="V58" s="127">
        <f t="shared" si="7"/>
        <v>0.6110000000000007</v>
      </c>
      <c r="W58" s="127">
        <f t="shared" si="7"/>
        <v>0.42400000000000304</v>
      </c>
    </row>
    <row r="59" spans="1:23" ht="12.75">
      <c r="A59" s="130" t="s">
        <v>14</v>
      </c>
      <c r="B59" s="131">
        <v>35.504</v>
      </c>
      <c r="C59" s="125">
        <v>33.076</v>
      </c>
      <c r="D59" s="125">
        <v>34.384</v>
      </c>
      <c r="E59" s="125">
        <v>36.825</v>
      </c>
      <c r="F59" s="125">
        <v>33.693</v>
      </c>
      <c r="G59" s="129">
        <v>35.111</v>
      </c>
      <c r="H59" s="125"/>
      <c r="I59" s="130" t="s">
        <v>14</v>
      </c>
      <c r="J59" s="131">
        <v>33.96</v>
      </c>
      <c r="K59" s="125">
        <v>38.121</v>
      </c>
      <c r="L59" s="125">
        <v>35.664</v>
      </c>
      <c r="M59" s="125">
        <v>31.003</v>
      </c>
      <c r="N59" s="125">
        <v>29.627</v>
      </c>
      <c r="O59" s="129">
        <v>34.866</v>
      </c>
      <c r="Q59" s="128" t="str">
        <f t="shared" si="6"/>
        <v>LF/%</v>
      </c>
      <c r="R59" s="127">
        <f t="shared" si="7"/>
        <v>1.543999999999997</v>
      </c>
      <c r="S59" s="127">
        <f t="shared" si="7"/>
        <v>-5.045000000000002</v>
      </c>
      <c r="T59" s="127">
        <f t="shared" si="7"/>
        <v>-1.2800000000000011</v>
      </c>
      <c r="U59" s="127">
        <f t="shared" si="7"/>
        <v>5.822000000000003</v>
      </c>
      <c r="V59" s="127">
        <f t="shared" si="7"/>
        <v>4.065999999999999</v>
      </c>
      <c r="W59" s="127">
        <f t="shared" si="7"/>
        <v>0.24499999999999744</v>
      </c>
    </row>
    <row r="60" spans="1:23" ht="12.75">
      <c r="A60" s="130" t="s">
        <v>15</v>
      </c>
      <c r="B60" s="131">
        <v>35.505</v>
      </c>
      <c r="C60" s="125">
        <v>33.076</v>
      </c>
      <c r="D60" s="125">
        <v>34.384</v>
      </c>
      <c r="E60" s="125">
        <v>36.829</v>
      </c>
      <c r="F60" s="125">
        <v>33.693</v>
      </c>
      <c r="G60" s="129">
        <v>35.111</v>
      </c>
      <c r="H60" s="125"/>
      <c r="I60" s="130" t="s">
        <v>15</v>
      </c>
      <c r="J60" s="131">
        <v>33.962</v>
      </c>
      <c r="K60" s="125">
        <v>38.122</v>
      </c>
      <c r="L60" s="125">
        <v>35.665</v>
      </c>
      <c r="M60" s="125">
        <v>31.006</v>
      </c>
      <c r="N60" s="125">
        <v>29.627</v>
      </c>
      <c r="O60" s="129">
        <v>34.868</v>
      </c>
      <c r="Q60" s="128" t="str">
        <f t="shared" si="6"/>
        <v>LFC/%</v>
      </c>
      <c r="R60" s="127">
        <f t="shared" si="7"/>
        <v>1.5429999999999993</v>
      </c>
      <c r="S60" s="127">
        <f t="shared" si="7"/>
        <v>-5.045999999999999</v>
      </c>
      <c r="T60" s="127">
        <f t="shared" si="7"/>
        <v>-1.2809999999999988</v>
      </c>
      <c r="U60" s="127">
        <f t="shared" si="7"/>
        <v>5.823</v>
      </c>
      <c r="V60" s="127">
        <f t="shared" si="7"/>
        <v>4.065999999999999</v>
      </c>
      <c r="W60" s="127">
        <f t="shared" si="7"/>
        <v>0.242999999999995</v>
      </c>
    </row>
    <row r="61" spans="1:23" ht="12.75">
      <c r="A61" s="134" t="s">
        <v>16</v>
      </c>
      <c r="B61" s="135">
        <v>0.197</v>
      </c>
      <c r="C61" s="132">
        <v>0.167</v>
      </c>
      <c r="D61" s="132">
        <v>0.274</v>
      </c>
      <c r="E61" s="132">
        <v>0.151</v>
      </c>
      <c r="F61" s="132">
        <v>0.201</v>
      </c>
      <c r="G61" s="133">
        <v>0.185</v>
      </c>
      <c r="H61" s="125"/>
      <c r="I61" s="134" t="s">
        <v>16</v>
      </c>
      <c r="J61" s="135">
        <v>0.251</v>
      </c>
      <c r="K61" s="132">
        <v>0.239</v>
      </c>
      <c r="L61" s="132">
        <v>0.236</v>
      </c>
      <c r="M61" s="132">
        <v>0.151</v>
      </c>
      <c r="N61" s="132">
        <v>0.188</v>
      </c>
      <c r="O61" s="133">
        <v>0.229</v>
      </c>
      <c r="Q61" s="128" t="str">
        <f t="shared" si="6"/>
        <v>IACC</v>
      </c>
      <c r="R61" s="127">
        <f t="shared" si="7"/>
        <v>-0.05399999999999999</v>
      </c>
      <c r="S61" s="127">
        <f t="shared" si="7"/>
        <v>-0.07199999999999998</v>
      </c>
      <c r="T61" s="127">
        <f t="shared" si="7"/>
        <v>0.038000000000000034</v>
      </c>
      <c r="U61" s="127">
        <f t="shared" si="7"/>
        <v>0</v>
      </c>
      <c r="V61" s="127">
        <f t="shared" si="7"/>
        <v>0.013000000000000012</v>
      </c>
      <c r="W61" s="127">
        <f t="shared" si="7"/>
        <v>-0.04400000000000001</v>
      </c>
    </row>
    <row r="62" spans="5:15" ht="12.75">
      <c r="E62" s="136"/>
      <c r="F62" s="136"/>
      <c r="G62" s="136"/>
      <c r="H62" s="136"/>
      <c r="M62" s="136"/>
      <c r="N62" s="136"/>
      <c r="O62" s="136"/>
    </row>
    <row r="63" spans="1:18" ht="12.75">
      <c r="A63" s="137" t="s">
        <v>20</v>
      </c>
      <c r="B63" s="138" t="s">
        <v>1</v>
      </c>
      <c r="E63" s="136"/>
      <c r="F63" s="136"/>
      <c r="G63" s="136"/>
      <c r="H63" s="136"/>
      <c r="I63" s="137" t="s">
        <v>20</v>
      </c>
      <c r="J63" s="138" t="s">
        <v>1</v>
      </c>
      <c r="M63" s="136"/>
      <c r="N63" s="136"/>
      <c r="O63" s="136"/>
      <c r="Q63" s="128" t="str">
        <f>+A63</f>
        <v>2000 Hz</v>
      </c>
      <c r="R63" s="128" t="str">
        <f>+B63</f>
        <v>octave</v>
      </c>
    </row>
    <row r="64" spans="1:23" ht="12.75">
      <c r="A64" s="142"/>
      <c r="B64" s="140" t="s">
        <v>2</v>
      </c>
      <c r="C64" s="140" t="s">
        <v>3</v>
      </c>
      <c r="D64" s="139" t="s">
        <v>4</v>
      </c>
      <c r="E64" s="139" t="s">
        <v>5</v>
      </c>
      <c r="F64" s="140" t="s">
        <v>6</v>
      </c>
      <c r="G64" s="139" t="s">
        <v>7</v>
      </c>
      <c r="H64" s="141"/>
      <c r="I64" s="142"/>
      <c r="J64" s="140" t="s">
        <v>2</v>
      </c>
      <c r="K64" s="140" t="s">
        <v>3</v>
      </c>
      <c r="L64" s="139" t="s">
        <v>4</v>
      </c>
      <c r="M64" s="139" t="s">
        <v>5</v>
      </c>
      <c r="N64" s="140" t="s">
        <v>6</v>
      </c>
      <c r="O64" s="139" t="s">
        <v>7</v>
      </c>
      <c r="Q64" s="128">
        <f>+A64</f>
        <v>0</v>
      </c>
      <c r="R64" s="128" t="str">
        <f>+B64</f>
        <v>S1R1</v>
      </c>
      <c r="S64" s="128" t="str">
        <f>+C64</f>
        <v>S1R2</v>
      </c>
      <c r="T64" s="128" t="str">
        <f>+D64</f>
        <v>S1R3</v>
      </c>
      <c r="U64" s="128" t="str">
        <f>+E64</f>
        <v>S2R1</v>
      </c>
      <c r="V64" s="128" t="str">
        <f>+F64</f>
        <v>S2R2</v>
      </c>
      <c r="W64" s="128" t="str">
        <f>+G64</f>
        <v>S2R3</v>
      </c>
    </row>
    <row r="65" spans="1:23" ht="12.75">
      <c r="A65" s="130" t="s">
        <v>8</v>
      </c>
      <c r="B65" s="145">
        <v>1.001</v>
      </c>
      <c r="C65" s="143">
        <v>1.233</v>
      </c>
      <c r="D65" s="143">
        <v>1.164</v>
      </c>
      <c r="E65" s="125">
        <v>0.96</v>
      </c>
      <c r="F65" s="143">
        <v>1.084</v>
      </c>
      <c r="G65" s="144">
        <v>0.971</v>
      </c>
      <c r="H65" s="125"/>
      <c r="I65" s="130" t="s">
        <v>8</v>
      </c>
      <c r="J65" s="145">
        <v>0.504</v>
      </c>
      <c r="K65" s="143">
        <v>0.522</v>
      </c>
      <c r="L65" s="143">
        <v>0.508</v>
      </c>
      <c r="M65" s="125">
        <v>0.472</v>
      </c>
      <c r="N65" s="143">
        <v>0.499</v>
      </c>
      <c r="O65" s="144">
        <v>0.48</v>
      </c>
      <c r="Q65" s="128" t="str">
        <f aca="true" t="shared" si="8" ref="Q65:Q73">+A65</f>
        <v>T30/s</v>
      </c>
      <c r="R65" s="127">
        <f aca="true" t="shared" si="9" ref="R65:W73">+B65-J65</f>
        <v>0.4969999999999999</v>
      </c>
      <c r="S65" s="127">
        <f t="shared" si="9"/>
        <v>0.7110000000000001</v>
      </c>
      <c r="T65" s="127">
        <f t="shared" si="9"/>
        <v>0.6559999999999999</v>
      </c>
      <c r="U65" s="127">
        <f t="shared" si="9"/>
        <v>0.488</v>
      </c>
      <c r="V65" s="127">
        <f t="shared" si="9"/>
        <v>0.5850000000000001</v>
      </c>
      <c r="W65" s="127">
        <f t="shared" si="9"/>
        <v>0.491</v>
      </c>
    </row>
    <row r="66" spans="1:23" ht="12.75">
      <c r="A66" s="130" t="s">
        <v>9</v>
      </c>
      <c r="B66" s="131">
        <v>0.775</v>
      </c>
      <c r="C66" s="125">
        <v>0.867</v>
      </c>
      <c r="D66" s="125">
        <v>0.802</v>
      </c>
      <c r="E66" s="125">
        <v>0.738</v>
      </c>
      <c r="F66" s="125">
        <v>0.78</v>
      </c>
      <c r="G66" s="129">
        <v>0.756</v>
      </c>
      <c r="H66" s="125"/>
      <c r="I66" s="130" t="s">
        <v>9</v>
      </c>
      <c r="J66" s="131">
        <v>0.507</v>
      </c>
      <c r="K66" s="125">
        <v>0.528</v>
      </c>
      <c r="L66" s="125">
        <v>0.522</v>
      </c>
      <c r="M66" s="125">
        <v>0.51</v>
      </c>
      <c r="N66" s="125">
        <v>0.552</v>
      </c>
      <c r="O66" s="129">
        <v>0.504</v>
      </c>
      <c r="Q66" s="128" t="str">
        <f t="shared" si="8"/>
        <v>EDT/s</v>
      </c>
      <c r="R66" s="127">
        <f t="shared" si="9"/>
        <v>0.268</v>
      </c>
      <c r="S66" s="127">
        <f t="shared" si="9"/>
        <v>0.33899999999999997</v>
      </c>
      <c r="T66" s="127">
        <f t="shared" si="9"/>
        <v>0.28</v>
      </c>
      <c r="U66" s="127">
        <f t="shared" si="9"/>
        <v>0.22799999999999998</v>
      </c>
      <c r="V66" s="127">
        <f t="shared" si="9"/>
        <v>0.22799999999999998</v>
      </c>
      <c r="W66" s="127">
        <f t="shared" si="9"/>
        <v>0.252</v>
      </c>
    </row>
    <row r="67" spans="1:23" ht="12.75">
      <c r="A67" s="130" t="s">
        <v>10</v>
      </c>
      <c r="B67" s="131">
        <v>60.205</v>
      </c>
      <c r="C67" s="125">
        <v>55.3</v>
      </c>
      <c r="D67" s="125">
        <v>58.17</v>
      </c>
      <c r="E67" s="125">
        <v>58.188</v>
      </c>
      <c r="F67" s="125">
        <v>75.092</v>
      </c>
      <c r="G67" s="129">
        <v>65.128</v>
      </c>
      <c r="H67" s="125"/>
      <c r="I67" s="130" t="s">
        <v>10</v>
      </c>
      <c r="J67" s="131">
        <v>72.481</v>
      </c>
      <c r="K67" s="125">
        <v>71.297</v>
      </c>
      <c r="L67" s="125">
        <v>70.314</v>
      </c>
      <c r="M67" s="125">
        <v>70.89</v>
      </c>
      <c r="N67" s="125">
        <v>70.363</v>
      </c>
      <c r="O67" s="129">
        <v>73.819</v>
      </c>
      <c r="Q67" s="128" t="str">
        <f t="shared" si="8"/>
        <v>D/%</v>
      </c>
      <c r="R67" s="127">
        <f t="shared" si="9"/>
        <v>-12.275999999999996</v>
      </c>
      <c r="S67" s="127">
        <f t="shared" si="9"/>
        <v>-15.997</v>
      </c>
      <c r="T67" s="127">
        <f t="shared" si="9"/>
        <v>-12.143999999999991</v>
      </c>
      <c r="U67" s="127">
        <f t="shared" si="9"/>
        <v>-12.701999999999998</v>
      </c>
      <c r="V67" s="127">
        <f t="shared" si="9"/>
        <v>4.728999999999999</v>
      </c>
      <c r="W67" s="127">
        <f t="shared" si="9"/>
        <v>-8.691000000000003</v>
      </c>
    </row>
    <row r="68" spans="1:23" ht="12.75">
      <c r="A68" s="130" t="s">
        <v>11</v>
      </c>
      <c r="B68" s="131">
        <v>4.143</v>
      </c>
      <c r="C68" s="125">
        <v>4.458</v>
      </c>
      <c r="D68" s="125">
        <v>4.896</v>
      </c>
      <c r="E68" s="125">
        <v>5.448</v>
      </c>
      <c r="F68" s="125">
        <v>4.792</v>
      </c>
      <c r="G68" s="129">
        <v>5.764</v>
      </c>
      <c r="H68" s="125"/>
      <c r="I68" s="130" t="s">
        <v>11</v>
      </c>
      <c r="J68" s="131">
        <v>8.543</v>
      </c>
      <c r="K68" s="125">
        <v>8.33</v>
      </c>
      <c r="L68" s="125">
        <v>8.234</v>
      </c>
      <c r="M68" s="125">
        <v>8.864</v>
      </c>
      <c r="N68" s="125">
        <v>8.06</v>
      </c>
      <c r="O68" s="129">
        <v>10.65</v>
      </c>
      <c r="Q68" s="128" t="str">
        <f t="shared" si="8"/>
        <v>C/dB</v>
      </c>
      <c r="R68" s="127">
        <f t="shared" si="9"/>
        <v>-4.3999999999999995</v>
      </c>
      <c r="S68" s="127">
        <f t="shared" si="9"/>
        <v>-3.872</v>
      </c>
      <c r="T68" s="127">
        <f t="shared" si="9"/>
        <v>-3.338</v>
      </c>
      <c r="U68" s="127">
        <f t="shared" si="9"/>
        <v>-3.4160000000000004</v>
      </c>
      <c r="V68" s="127">
        <f t="shared" si="9"/>
        <v>-3.2680000000000007</v>
      </c>
      <c r="W68" s="127" t="e">
        <f>+G68-#REF!</f>
        <v>#REF!</v>
      </c>
    </row>
    <row r="69" spans="1:23" ht="12.75">
      <c r="A69" s="130" t="s">
        <v>12</v>
      </c>
      <c r="B69" s="131">
        <v>57.069</v>
      </c>
      <c r="C69" s="125">
        <v>63.552</v>
      </c>
      <c r="D69" s="125">
        <v>60.705</v>
      </c>
      <c r="E69" s="125">
        <v>55.567</v>
      </c>
      <c r="F69" s="125">
        <v>58.927</v>
      </c>
      <c r="G69" s="129">
        <v>45.603</v>
      </c>
      <c r="H69" s="125"/>
      <c r="I69" s="130" t="s">
        <v>12</v>
      </c>
      <c r="J69" s="131">
        <v>39.92</v>
      </c>
      <c r="K69" s="125">
        <v>40.276</v>
      </c>
      <c r="L69" s="125">
        <v>41.44</v>
      </c>
      <c r="M69" s="125">
        <v>38.26</v>
      </c>
      <c r="N69" s="125">
        <v>40.237</v>
      </c>
      <c r="O69" s="129">
        <v>9.259</v>
      </c>
      <c r="Q69" s="128" t="str">
        <f t="shared" si="8"/>
        <v>TS/ms</v>
      </c>
      <c r="R69" s="127">
        <f t="shared" si="9"/>
        <v>17.149</v>
      </c>
      <c r="S69" s="127">
        <f t="shared" si="9"/>
        <v>23.275999999999996</v>
      </c>
      <c r="T69" s="127">
        <f t="shared" si="9"/>
        <v>19.265</v>
      </c>
      <c r="U69" s="127">
        <f t="shared" si="9"/>
        <v>17.307000000000002</v>
      </c>
      <c r="V69" s="127">
        <f t="shared" si="9"/>
        <v>18.689999999999998</v>
      </c>
      <c r="W69" s="127">
        <f>+G69-O68</f>
        <v>34.953</v>
      </c>
    </row>
    <row r="70" spans="1:23" ht="12.75">
      <c r="A70" s="130" t="s">
        <v>13</v>
      </c>
      <c r="B70" s="131">
        <f>19.769</f>
        <v>19.769</v>
      </c>
      <c r="C70" s="125">
        <f>21.251</f>
        <v>21.251</v>
      </c>
      <c r="D70" s="125">
        <f>20.158</f>
        <v>20.158</v>
      </c>
      <c r="E70" s="125">
        <f>20.665</f>
        <v>20.665</v>
      </c>
      <c r="F70" s="125">
        <f>19.64</f>
        <v>19.64</v>
      </c>
      <c r="G70" s="129">
        <f>20.468</f>
        <v>20.468</v>
      </c>
      <c r="H70" s="125"/>
      <c r="I70" s="130" t="s">
        <v>13</v>
      </c>
      <c r="J70" s="131">
        <f>18.643</f>
        <v>18.643</v>
      </c>
      <c r="K70" s="125">
        <f>19.824</f>
        <v>19.824</v>
      </c>
      <c r="L70" s="125">
        <f>18.661</f>
        <v>18.661</v>
      </c>
      <c r="M70" s="125">
        <f>19.899</f>
        <v>19.899</v>
      </c>
      <c r="N70" s="125">
        <f>18.62</f>
        <v>18.62</v>
      </c>
      <c r="O70" s="129">
        <f>19.742</f>
        <v>19.742</v>
      </c>
      <c r="Q70" s="128" t="str">
        <f t="shared" si="8"/>
        <v>G/dB</v>
      </c>
      <c r="R70" s="127">
        <f t="shared" si="9"/>
        <v>1.1259999999999977</v>
      </c>
      <c r="S70" s="127">
        <f t="shared" si="9"/>
        <v>1.4269999999999996</v>
      </c>
      <c r="T70" s="127">
        <f t="shared" si="9"/>
        <v>1.4969999999999999</v>
      </c>
      <c r="U70" s="127">
        <f t="shared" si="9"/>
        <v>0.7659999999999982</v>
      </c>
      <c r="V70" s="127">
        <f t="shared" si="9"/>
        <v>1.0199999999999996</v>
      </c>
      <c r="W70" s="127">
        <f t="shared" si="9"/>
        <v>0.7259999999999991</v>
      </c>
    </row>
    <row r="71" spans="1:23" ht="12.75">
      <c r="A71" s="130" t="s">
        <v>14</v>
      </c>
      <c r="B71" s="131">
        <v>36.258</v>
      </c>
      <c r="C71" s="125">
        <v>33.463</v>
      </c>
      <c r="D71" s="125">
        <v>35.008</v>
      </c>
      <c r="E71" s="125">
        <v>37.537</v>
      </c>
      <c r="F71" s="125">
        <v>34.307</v>
      </c>
      <c r="G71" s="129">
        <v>35.545</v>
      </c>
      <c r="H71" s="125"/>
      <c r="I71" s="130" t="s">
        <v>14</v>
      </c>
      <c r="J71" s="131">
        <v>34.013</v>
      </c>
      <c r="K71" s="125">
        <v>37.945</v>
      </c>
      <c r="L71" s="125">
        <v>35.202</v>
      </c>
      <c r="M71" s="125">
        <v>30.589</v>
      </c>
      <c r="N71" s="125">
        <v>29.326</v>
      </c>
      <c r="O71" s="129">
        <v>34.994</v>
      </c>
      <c r="Q71" s="128" t="str">
        <f t="shared" si="8"/>
        <v>LF/%</v>
      </c>
      <c r="R71" s="127">
        <f t="shared" si="9"/>
        <v>2.2450000000000045</v>
      </c>
      <c r="S71" s="127">
        <f t="shared" si="9"/>
        <v>-4.481999999999999</v>
      </c>
      <c r="T71" s="127">
        <f t="shared" si="9"/>
        <v>-0.1939999999999955</v>
      </c>
      <c r="U71" s="127">
        <f t="shared" si="9"/>
        <v>6.948</v>
      </c>
      <c r="V71" s="127">
        <f t="shared" si="9"/>
        <v>4.981000000000002</v>
      </c>
      <c r="W71" s="127">
        <f t="shared" si="9"/>
        <v>0.5510000000000019</v>
      </c>
    </row>
    <row r="72" spans="1:23" ht="12.75">
      <c r="A72" s="130" t="s">
        <v>15</v>
      </c>
      <c r="B72" s="131">
        <v>36.26</v>
      </c>
      <c r="C72" s="125">
        <v>33.464</v>
      </c>
      <c r="D72" s="125">
        <v>35.008</v>
      </c>
      <c r="E72" s="125">
        <v>37.542</v>
      </c>
      <c r="F72" s="125">
        <v>34.307</v>
      </c>
      <c r="G72" s="129">
        <v>35.545</v>
      </c>
      <c r="H72" s="125"/>
      <c r="I72" s="130" t="s">
        <v>15</v>
      </c>
      <c r="J72" s="131">
        <v>34.015</v>
      </c>
      <c r="K72" s="125">
        <v>37.945</v>
      </c>
      <c r="L72" s="125">
        <v>35.202</v>
      </c>
      <c r="M72" s="125">
        <v>30.594</v>
      </c>
      <c r="N72" s="125">
        <v>29.327</v>
      </c>
      <c r="O72" s="129">
        <v>34.996</v>
      </c>
      <c r="Q72" s="128" t="str">
        <f t="shared" si="8"/>
        <v>LFC/%</v>
      </c>
      <c r="R72" s="127">
        <f t="shared" si="9"/>
        <v>2.2449999999999974</v>
      </c>
      <c r="S72" s="127">
        <f t="shared" si="9"/>
        <v>-4.481000000000002</v>
      </c>
      <c r="T72" s="127">
        <f t="shared" si="9"/>
        <v>-0.1939999999999955</v>
      </c>
      <c r="U72" s="127">
        <f t="shared" si="9"/>
        <v>6.948</v>
      </c>
      <c r="V72" s="127">
        <f t="shared" si="9"/>
        <v>4.98</v>
      </c>
      <c r="W72" s="127">
        <f t="shared" si="9"/>
        <v>0.5489999999999995</v>
      </c>
    </row>
    <row r="73" spans="1:23" ht="12.75">
      <c r="A73" s="134" t="s">
        <v>16</v>
      </c>
      <c r="B73" s="135">
        <v>0.136</v>
      </c>
      <c r="C73" s="132">
        <v>0.194</v>
      </c>
      <c r="D73" s="132">
        <v>0.169</v>
      </c>
      <c r="E73" s="132">
        <v>0.112</v>
      </c>
      <c r="F73" s="132">
        <v>0.355</v>
      </c>
      <c r="G73" s="133">
        <v>0.067</v>
      </c>
      <c r="H73" s="125"/>
      <c r="I73" s="134" t="s">
        <v>16</v>
      </c>
      <c r="J73" s="135">
        <v>0.358</v>
      </c>
      <c r="K73" s="132">
        <v>0.218</v>
      </c>
      <c r="L73" s="132">
        <v>0.274</v>
      </c>
      <c r="M73" s="132">
        <v>0.099</v>
      </c>
      <c r="N73" s="132">
        <v>0.407</v>
      </c>
      <c r="O73" s="133">
        <v>0.157</v>
      </c>
      <c r="Q73" s="128" t="str">
        <f t="shared" si="8"/>
        <v>IACC</v>
      </c>
      <c r="R73" s="127">
        <f t="shared" si="9"/>
        <v>-0.22199999999999998</v>
      </c>
      <c r="S73" s="127">
        <f t="shared" si="9"/>
        <v>-0.023999999999999994</v>
      </c>
      <c r="T73" s="127">
        <f t="shared" si="9"/>
        <v>-0.10500000000000001</v>
      </c>
      <c r="U73" s="127">
        <f t="shared" si="9"/>
        <v>0.012999999999999998</v>
      </c>
      <c r="V73" s="127">
        <f t="shared" si="9"/>
        <v>-0.05199999999999999</v>
      </c>
      <c r="W73" s="127">
        <f t="shared" si="9"/>
        <v>-0.09</v>
      </c>
    </row>
    <row r="74" spans="5:15" ht="12.75">
      <c r="E74" s="136"/>
      <c r="F74" s="136"/>
      <c r="G74" s="136"/>
      <c r="H74" s="136"/>
      <c r="M74" s="136"/>
      <c r="N74" s="136"/>
      <c r="O74" s="136"/>
    </row>
    <row r="75" spans="1:18" ht="12.75">
      <c r="A75" s="137" t="s">
        <v>21</v>
      </c>
      <c r="B75" s="138" t="s">
        <v>1</v>
      </c>
      <c r="E75" s="136"/>
      <c r="F75" s="136"/>
      <c r="G75" s="136"/>
      <c r="H75" s="136"/>
      <c r="I75" s="137" t="s">
        <v>21</v>
      </c>
      <c r="J75" s="138" t="s">
        <v>1</v>
      </c>
      <c r="M75" s="136"/>
      <c r="N75" s="136"/>
      <c r="O75" s="136"/>
      <c r="Q75" s="128" t="str">
        <f>+A75</f>
        <v>4000 Hz</v>
      </c>
      <c r="R75" s="128" t="str">
        <f>+B75</f>
        <v>octave</v>
      </c>
    </row>
    <row r="76" spans="1:23" ht="12.75">
      <c r="A76" s="142"/>
      <c r="B76" s="140" t="s">
        <v>2</v>
      </c>
      <c r="C76" s="140" t="s">
        <v>3</v>
      </c>
      <c r="D76" s="139" t="s">
        <v>4</v>
      </c>
      <c r="E76" s="139" t="s">
        <v>5</v>
      </c>
      <c r="F76" s="140" t="s">
        <v>6</v>
      </c>
      <c r="G76" s="139" t="s">
        <v>7</v>
      </c>
      <c r="H76" s="141"/>
      <c r="I76" s="142"/>
      <c r="J76" s="140" t="s">
        <v>2</v>
      </c>
      <c r="K76" s="140" t="s">
        <v>3</v>
      </c>
      <c r="L76" s="139" t="s">
        <v>4</v>
      </c>
      <c r="M76" s="139" t="s">
        <v>5</v>
      </c>
      <c r="N76" s="140" t="s">
        <v>6</v>
      </c>
      <c r="O76" s="139" t="s">
        <v>7</v>
      </c>
      <c r="Q76" s="128">
        <f>+A76</f>
        <v>0</v>
      </c>
      <c r="R76" s="128" t="str">
        <f>+B76</f>
        <v>S1R1</v>
      </c>
      <c r="S76" s="128" t="str">
        <f>+C76</f>
        <v>S1R2</v>
      </c>
      <c r="T76" s="128" t="str">
        <f>+D76</f>
        <v>S1R3</v>
      </c>
      <c r="U76" s="128" t="str">
        <f>+E76</f>
        <v>S2R1</v>
      </c>
      <c r="V76" s="128" t="str">
        <f>+F76</f>
        <v>S2R2</v>
      </c>
      <c r="W76" s="128" t="str">
        <f>+G76</f>
        <v>S2R3</v>
      </c>
    </row>
    <row r="77" spans="1:23" ht="12.75">
      <c r="A77" s="130" t="s">
        <v>8</v>
      </c>
      <c r="B77" s="145">
        <v>0.891</v>
      </c>
      <c r="C77" s="143">
        <v>1.104</v>
      </c>
      <c r="D77" s="143">
        <v>1.023</v>
      </c>
      <c r="E77" s="125">
        <v>0.858</v>
      </c>
      <c r="F77" s="143">
        <v>0.952</v>
      </c>
      <c r="G77" s="144">
        <v>0.875</v>
      </c>
      <c r="H77" s="125"/>
      <c r="I77" s="130" t="s">
        <v>8</v>
      </c>
      <c r="J77" s="145">
        <v>0.458</v>
      </c>
      <c r="K77" s="143">
        <v>0.466</v>
      </c>
      <c r="L77" s="143">
        <v>0.453</v>
      </c>
      <c r="M77" s="125">
        <v>0.427</v>
      </c>
      <c r="N77" s="143">
        <v>0.451</v>
      </c>
      <c r="O77" s="144">
        <v>0.433</v>
      </c>
      <c r="Q77" s="128" t="str">
        <f aca="true" t="shared" si="10" ref="Q77:Q85">+A77</f>
        <v>T30/s</v>
      </c>
      <c r="R77" s="127">
        <f aca="true" t="shared" si="11" ref="R77:W85">+B77-J77</f>
        <v>0.433</v>
      </c>
      <c r="S77" s="127">
        <f t="shared" si="11"/>
        <v>0.6380000000000001</v>
      </c>
      <c r="T77" s="127">
        <f t="shared" si="11"/>
        <v>0.5699999999999998</v>
      </c>
      <c r="U77" s="127">
        <f t="shared" si="11"/>
        <v>0.431</v>
      </c>
      <c r="V77" s="127">
        <f t="shared" si="11"/>
        <v>0.5009999999999999</v>
      </c>
      <c r="W77" s="127">
        <f t="shared" si="11"/>
        <v>0.442</v>
      </c>
    </row>
    <row r="78" spans="1:23" ht="12.75">
      <c r="A78" s="130" t="s">
        <v>9</v>
      </c>
      <c r="B78" s="131">
        <v>0.702</v>
      </c>
      <c r="C78" s="125">
        <v>0.776</v>
      </c>
      <c r="D78" s="125">
        <v>0.724</v>
      </c>
      <c r="E78" s="125">
        <v>0.674</v>
      </c>
      <c r="F78" s="125">
        <v>0.709</v>
      </c>
      <c r="G78" s="129">
        <v>0.685</v>
      </c>
      <c r="H78" s="125"/>
      <c r="I78" s="130" t="s">
        <v>9</v>
      </c>
      <c r="J78" s="131">
        <v>0.449</v>
      </c>
      <c r="K78" s="125">
        <v>0.476</v>
      </c>
      <c r="L78" s="125">
        <v>0.472</v>
      </c>
      <c r="M78" s="125">
        <v>0.465</v>
      </c>
      <c r="N78" s="125">
        <v>0.493</v>
      </c>
      <c r="O78" s="129">
        <v>0.456</v>
      </c>
      <c r="Q78" s="128" t="str">
        <f t="shared" si="10"/>
        <v>EDT/s</v>
      </c>
      <c r="R78" s="127">
        <f t="shared" si="11"/>
        <v>0.25299999999999995</v>
      </c>
      <c r="S78" s="127">
        <f t="shared" si="11"/>
        <v>0.30000000000000004</v>
      </c>
      <c r="T78" s="127">
        <f t="shared" si="11"/>
        <v>0.252</v>
      </c>
      <c r="U78" s="127">
        <f t="shared" si="11"/>
        <v>0.20900000000000002</v>
      </c>
      <c r="V78" s="127">
        <f t="shared" si="11"/>
        <v>0.21599999999999997</v>
      </c>
      <c r="W78" s="127">
        <f t="shared" si="11"/>
        <v>0.22900000000000004</v>
      </c>
    </row>
    <row r="79" spans="1:23" ht="12.75">
      <c r="A79" s="130" t="s">
        <v>10</v>
      </c>
      <c r="B79" s="131">
        <v>64.279</v>
      </c>
      <c r="C79" s="125">
        <v>59.266</v>
      </c>
      <c r="D79" s="125">
        <v>62.136</v>
      </c>
      <c r="E79" s="125">
        <v>62.145</v>
      </c>
      <c r="F79" s="125">
        <v>78.645</v>
      </c>
      <c r="G79" s="129">
        <v>69.172</v>
      </c>
      <c r="H79" s="125"/>
      <c r="I79" s="130" t="s">
        <v>10</v>
      </c>
      <c r="J79" s="131">
        <v>76.956</v>
      </c>
      <c r="K79" s="125">
        <v>75.773</v>
      </c>
      <c r="L79" s="125">
        <v>74.866</v>
      </c>
      <c r="M79" s="125">
        <v>75.436</v>
      </c>
      <c r="N79" s="125">
        <v>75.27</v>
      </c>
      <c r="O79" s="129">
        <v>78.168</v>
      </c>
      <c r="Q79" s="128" t="str">
        <f t="shared" si="10"/>
        <v>D/%</v>
      </c>
      <c r="R79" s="127">
        <f t="shared" si="11"/>
        <v>-12.677000000000007</v>
      </c>
      <c r="S79" s="127">
        <f t="shared" si="11"/>
        <v>-16.506999999999998</v>
      </c>
      <c r="T79" s="127">
        <f t="shared" si="11"/>
        <v>-12.729999999999997</v>
      </c>
      <c r="U79" s="127">
        <f t="shared" si="11"/>
        <v>-13.291000000000004</v>
      </c>
      <c r="V79" s="127">
        <f t="shared" si="11"/>
        <v>3.375</v>
      </c>
      <c r="W79" s="127">
        <f t="shared" si="11"/>
        <v>-8.99600000000001</v>
      </c>
    </row>
    <row r="80" spans="1:23" ht="12.75">
      <c r="A80" s="130" t="s">
        <v>11</v>
      </c>
      <c r="B80" s="131">
        <v>5.999</v>
      </c>
      <c r="C80" s="125">
        <v>5.288</v>
      </c>
      <c r="D80" s="125">
        <v>5.707</v>
      </c>
      <c r="E80" s="125">
        <v>6.301</v>
      </c>
      <c r="F80" s="125">
        <v>5.662</v>
      </c>
      <c r="G80" s="129">
        <v>6.659</v>
      </c>
      <c r="H80" s="125"/>
      <c r="I80" s="130" t="s">
        <v>11</v>
      </c>
      <c r="J80" s="131">
        <v>9.845</v>
      </c>
      <c r="K80" s="125">
        <v>9.575</v>
      </c>
      <c r="L80" s="125">
        <v>9.455</v>
      </c>
      <c r="M80" s="125">
        <v>10.217</v>
      </c>
      <c r="N80" s="125">
        <v>9.394</v>
      </c>
      <c r="O80" s="129">
        <v>10.65</v>
      </c>
      <c r="Q80" s="128" t="str">
        <f t="shared" si="10"/>
        <v>C/dB</v>
      </c>
      <c r="R80" s="127">
        <f t="shared" si="11"/>
        <v>-3.846000000000001</v>
      </c>
      <c r="S80" s="127">
        <f t="shared" si="11"/>
        <v>-4.286999999999999</v>
      </c>
      <c r="T80" s="127">
        <f t="shared" si="11"/>
        <v>-3.748</v>
      </c>
      <c r="U80" s="127">
        <f t="shared" si="11"/>
        <v>-3.9160000000000004</v>
      </c>
      <c r="V80" s="127">
        <f t="shared" si="11"/>
        <v>-3.732</v>
      </c>
      <c r="W80" s="127">
        <f t="shared" si="11"/>
        <v>-3.9910000000000005</v>
      </c>
    </row>
    <row r="81" spans="1:23" ht="12.75">
      <c r="A81" s="130" t="s">
        <v>12</v>
      </c>
      <c r="B81" s="131">
        <v>51.353</v>
      </c>
      <c r="C81" s="125">
        <v>56.818</v>
      </c>
      <c r="D81" s="125">
        <v>54.764</v>
      </c>
      <c r="E81" s="125">
        <v>50.301</v>
      </c>
      <c r="F81" s="125">
        <v>52.973</v>
      </c>
      <c r="G81" s="129">
        <v>45.603</v>
      </c>
      <c r="H81" s="125"/>
      <c r="I81" s="130" t="s">
        <v>12</v>
      </c>
      <c r="J81" s="131">
        <v>35.51</v>
      </c>
      <c r="K81" s="125">
        <v>35.712</v>
      </c>
      <c r="L81" s="125">
        <v>36.993</v>
      </c>
      <c r="M81" s="125">
        <v>33.796</v>
      </c>
      <c r="N81" s="125">
        <v>35.418</v>
      </c>
      <c r="O81" s="129">
        <v>31.714</v>
      </c>
      <c r="Q81" s="128" t="str">
        <f t="shared" si="10"/>
        <v>TS/ms</v>
      </c>
      <c r="R81" s="127">
        <f t="shared" si="11"/>
        <v>15.843000000000004</v>
      </c>
      <c r="S81" s="127">
        <f t="shared" si="11"/>
        <v>21.105999999999995</v>
      </c>
      <c r="T81" s="127">
        <f t="shared" si="11"/>
        <v>17.771</v>
      </c>
      <c r="U81" s="127">
        <f t="shared" si="11"/>
        <v>16.505000000000003</v>
      </c>
      <c r="V81" s="127">
        <f t="shared" si="11"/>
        <v>17.555</v>
      </c>
      <c r="W81" s="127">
        <f t="shared" si="11"/>
        <v>13.889000000000003</v>
      </c>
    </row>
    <row r="82" spans="1:23" ht="12.75">
      <c r="A82" s="130" t="s">
        <v>13</v>
      </c>
      <c r="B82" s="131">
        <f>19.276</f>
        <v>19.276</v>
      </c>
      <c r="C82" s="125">
        <f>20.779</f>
        <v>20.779</v>
      </c>
      <c r="D82" s="125">
        <f>19.637</f>
        <v>19.637</v>
      </c>
      <c r="E82" s="125">
        <f>20.229</f>
        <v>20.229</v>
      </c>
      <c r="F82" s="125">
        <f>19.123</f>
        <v>19.123</v>
      </c>
      <c r="G82" s="129">
        <f>20.07</f>
        <v>20.07</v>
      </c>
      <c r="H82" s="125"/>
      <c r="I82" s="130" t="s">
        <v>13</v>
      </c>
      <c r="J82" s="131">
        <f>18.058</f>
        <v>18.058</v>
      </c>
      <c r="K82" s="125">
        <f>19.297</f>
        <v>19.297</v>
      </c>
      <c r="L82" s="125">
        <f>18.05</f>
        <v>18.05</v>
      </c>
      <c r="M82" s="125">
        <f>19.378</f>
        <v>19.378</v>
      </c>
      <c r="N82" s="125">
        <f>18.062</f>
        <v>18.062</v>
      </c>
      <c r="O82" s="129">
        <f>19.288</f>
        <v>19.288</v>
      </c>
      <c r="Q82" s="128" t="str">
        <f t="shared" si="10"/>
        <v>G/dB</v>
      </c>
      <c r="R82" s="127">
        <f t="shared" si="11"/>
        <v>1.218</v>
      </c>
      <c r="S82" s="127">
        <f t="shared" si="11"/>
        <v>1.4819999999999993</v>
      </c>
      <c r="T82" s="127">
        <f t="shared" si="11"/>
        <v>1.5869999999999997</v>
      </c>
      <c r="U82" s="127">
        <f t="shared" si="11"/>
        <v>0.8509999999999991</v>
      </c>
      <c r="V82" s="127">
        <f t="shared" si="11"/>
        <v>1.061</v>
      </c>
      <c r="W82" s="127">
        <f t="shared" si="11"/>
        <v>0.782</v>
      </c>
    </row>
    <row r="83" spans="1:23" ht="12.75">
      <c r="A83" s="130" t="s">
        <v>14</v>
      </c>
      <c r="B83" s="131">
        <v>35.426</v>
      </c>
      <c r="C83" s="125">
        <v>32.56</v>
      </c>
      <c r="D83" s="125">
        <v>34.413</v>
      </c>
      <c r="E83" s="125">
        <v>36.855</v>
      </c>
      <c r="F83" s="125">
        <v>33.539</v>
      </c>
      <c r="G83" s="129">
        <v>34.887</v>
      </c>
      <c r="H83" s="125"/>
      <c r="I83" s="130" t="s">
        <v>14</v>
      </c>
      <c r="J83" s="131">
        <v>32.608</v>
      </c>
      <c r="K83" s="125">
        <v>36.958</v>
      </c>
      <c r="L83" s="125">
        <v>34.167</v>
      </c>
      <c r="M83" s="125">
        <v>29.077</v>
      </c>
      <c r="N83" s="125">
        <v>28.009</v>
      </c>
      <c r="O83" s="129">
        <v>34.012</v>
      </c>
      <c r="Q83" s="128" t="str">
        <f t="shared" si="10"/>
        <v>LF/%</v>
      </c>
      <c r="R83" s="127">
        <f t="shared" si="11"/>
        <v>2.818000000000005</v>
      </c>
      <c r="S83" s="127">
        <f t="shared" si="11"/>
        <v>-4.397999999999996</v>
      </c>
      <c r="T83" s="127">
        <f t="shared" si="11"/>
        <v>0.2459999999999951</v>
      </c>
      <c r="U83" s="127">
        <f t="shared" si="11"/>
        <v>7.777999999999995</v>
      </c>
      <c r="V83" s="127">
        <f t="shared" si="11"/>
        <v>5.530000000000001</v>
      </c>
      <c r="W83" s="127">
        <f t="shared" si="11"/>
        <v>0.875</v>
      </c>
    </row>
    <row r="84" spans="1:23" ht="12.75">
      <c r="A84" s="130" t="s">
        <v>15</v>
      </c>
      <c r="B84" s="131">
        <v>35.427</v>
      </c>
      <c r="C84" s="125">
        <v>32.56</v>
      </c>
      <c r="D84" s="125">
        <v>34.413</v>
      </c>
      <c r="E84" s="125">
        <v>36.858</v>
      </c>
      <c r="F84" s="125">
        <v>33.539</v>
      </c>
      <c r="G84" s="129">
        <v>34.888</v>
      </c>
      <c r="H84" s="125"/>
      <c r="I84" s="130" t="s">
        <v>15</v>
      </c>
      <c r="J84" s="131">
        <v>32.61</v>
      </c>
      <c r="K84" s="125">
        <v>36.958</v>
      </c>
      <c r="L84" s="125">
        <v>34.167</v>
      </c>
      <c r="M84" s="125">
        <v>29.081</v>
      </c>
      <c r="N84" s="125">
        <v>28.01</v>
      </c>
      <c r="O84" s="129">
        <v>34.014</v>
      </c>
      <c r="Q84" s="128" t="str">
        <f t="shared" si="10"/>
        <v>LFC/%</v>
      </c>
      <c r="R84" s="127">
        <f t="shared" si="11"/>
        <v>2.817</v>
      </c>
      <c r="S84" s="127">
        <f t="shared" si="11"/>
        <v>-4.397999999999996</v>
      </c>
      <c r="T84" s="127">
        <f t="shared" si="11"/>
        <v>0.2459999999999951</v>
      </c>
      <c r="U84" s="127">
        <f t="shared" si="11"/>
        <v>7.7769999999999975</v>
      </c>
      <c r="V84" s="127">
        <f t="shared" si="11"/>
        <v>5.529</v>
      </c>
      <c r="W84" s="127">
        <f t="shared" si="11"/>
        <v>0.8739999999999952</v>
      </c>
    </row>
    <row r="85" spans="1:23" ht="12.75">
      <c r="A85" s="134" t="s">
        <v>16</v>
      </c>
      <c r="B85" s="135">
        <v>0.286</v>
      </c>
      <c r="C85" s="132">
        <v>0.155</v>
      </c>
      <c r="D85" s="132">
        <v>0.126</v>
      </c>
      <c r="E85" s="132">
        <v>0.071</v>
      </c>
      <c r="F85" s="132">
        <v>0.097</v>
      </c>
      <c r="G85" s="133">
        <v>0.11</v>
      </c>
      <c r="H85" s="125"/>
      <c r="I85" s="134" t="s">
        <v>16</v>
      </c>
      <c r="J85" s="135">
        <v>0.304</v>
      </c>
      <c r="K85" s="132">
        <v>0.163</v>
      </c>
      <c r="L85" s="132">
        <v>0.172</v>
      </c>
      <c r="M85" s="132">
        <v>0.135</v>
      </c>
      <c r="N85" s="132">
        <v>0.238</v>
      </c>
      <c r="O85" s="133">
        <v>0.143</v>
      </c>
      <c r="Q85" s="128" t="str">
        <f t="shared" si="10"/>
        <v>IACC</v>
      </c>
      <c r="R85" s="127">
        <f t="shared" si="11"/>
        <v>-0.018000000000000016</v>
      </c>
      <c r="S85" s="127">
        <f t="shared" si="11"/>
        <v>-0.008000000000000007</v>
      </c>
      <c r="T85" s="127">
        <f t="shared" si="11"/>
        <v>-0.045999999999999985</v>
      </c>
      <c r="U85" s="127">
        <f t="shared" si="11"/>
        <v>-0.06400000000000002</v>
      </c>
      <c r="V85" s="127">
        <f t="shared" si="11"/>
        <v>-0.141</v>
      </c>
      <c r="W85" s="127">
        <f t="shared" si="11"/>
        <v>-0.03299999999999999</v>
      </c>
    </row>
    <row r="86" spans="5:15" ht="12.75">
      <c r="E86" s="136"/>
      <c r="F86" s="136"/>
      <c r="G86" s="136"/>
      <c r="H86" s="136"/>
      <c r="M86" s="136"/>
      <c r="N86" s="136"/>
      <c r="O86" s="136"/>
    </row>
    <row r="87" spans="5:15" ht="12.75">
      <c r="E87" s="136"/>
      <c r="F87" s="136"/>
      <c r="G87" s="136"/>
      <c r="H87" s="136"/>
      <c r="M87" s="136"/>
      <c r="N87" s="136"/>
      <c r="O87" s="136"/>
    </row>
    <row r="88" spans="1:15" ht="12.75">
      <c r="A88" s="146"/>
      <c r="E88" s="136"/>
      <c r="F88" s="136"/>
      <c r="G88" s="136"/>
      <c r="H88" s="136"/>
      <c r="I88" s="146"/>
      <c r="M88" s="136"/>
      <c r="N88" s="136"/>
      <c r="O88" s="136"/>
    </row>
    <row r="89" spans="5:15" ht="12.75">
      <c r="E89" s="136"/>
      <c r="F89" s="136"/>
      <c r="G89" s="136"/>
      <c r="H89" s="136"/>
      <c r="M89" s="136"/>
      <c r="N89" s="136"/>
      <c r="O89" s="136"/>
    </row>
    <row r="90" spans="5:15" ht="12.75">
      <c r="E90" s="136"/>
      <c r="F90" s="136"/>
      <c r="G90" s="136"/>
      <c r="H90" s="136"/>
      <c r="M90" s="136"/>
      <c r="N90" s="136"/>
      <c r="O90" s="136"/>
    </row>
    <row r="91" spans="5:15" ht="12.75">
      <c r="E91" s="136"/>
      <c r="F91" s="136"/>
      <c r="G91" s="136"/>
      <c r="H91" s="136"/>
      <c r="M91" s="136"/>
      <c r="N91" s="136"/>
      <c r="O91" s="136"/>
    </row>
    <row r="92" spans="5:15" ht="12.75">
      <c r="E92" s="136"/>
      <c r="F92" s="136"/>
      <c r="G92" s="136"/>
      <c r="H92" s="136"/>
      <c r="M92" s="136"/>
      <c r="N92" s="136"/>
      <c r="O92" s="136"/>
    </row>
    <row r="93" spans="5:15" ht="12.75">
      <c r="E93" s="136"/>
      <c r="F93" s="136"/>
      <c r="G93" s="136"/>
      <c r="H93" s="136"/>
      <c r="M93" s="136"/>
      <c r="N93" s="136"/>
      <c r="O93" s="136"/>
    </row>
  </sheetData>
  <printOptions/>
  <pageMargins left="0.75" right="0.75" top="1" bottom="1" header="0.4921259845" footer="0.4921259845"/>
  <pageSetup fitToHeight="1" fitToWidth="1" horizontalDpi="300" verticalDpi="300" orientation="portrait" paperSize="9" scale="52" r:id="rId1"/>
  <headerFooter alignWithMargins="0">
    <oddHeader>&amp;C&amp;A</oddHeader>
    <oddFooter>&amp;LPTB 1.401&amp;CSeite &amp;P&amp;R&amp;D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W93"/>
  <sheetViews>
    <sheetView zoomScale="75" zoomScaleNormal="75" workbookViewId="0" topLeftCell="A1">
      <selection activeCell="F37" sqref="F37"/>
    </sheetView>
  </sheetViews>
  <sheetFormatPr defaultColWidth="11.5546875" defaultRowHeight="15"/>
  <cols>
    <col min="1" max="1" width="7.77734375" style="234" customWidth="1"/>
    <col min="2" max="15" width="6.77734375" style="234" customWidth="1"/>
    <col min="16" max="16" width="6.77734375" style="128" customWidth="1"/>
    <col min="17" max="17" width="11.5546875" style="128" customWidth="1" collapsed="1"/>
    <col min="18" max="16384" width="11.5546875" style="128" customWidth="1"/>
  </cols>
  <sheetData>
    <row r="1" spans="1:10" ht="13.5" thickBot="1">
      <c r="A1" s="233"/>
      <c r="B1" s="233"/>
      <c r="C1" s="233"/>
      <c r="D1" s="233"/>
      <c r="E1" s="233"/>
      <c r="F1" s="233"/>
      <c r="G1" s="233"/>
      <c r="H1" s="233"/>
      <c r="I1" s="233"/>
      <c r="J1" s="233"/>
    </row>
    <row r="2" spans="1:2" ht="13.5" thickBot="1">
      <c r="A2" s="29"/>
      <c r="B2" s="30"/>
    </row>
    <row r="5" spans="1:3" ht="12.75">
      <c r="A5" s="235"/>
      <c r="B5" s="236"/>
      <c r="C5" s="236"/>
    </row>
    <row r="6" spans="2:3" ht="12" customHeight="1">
      <c r="B6" s="236"/>
      <c r="C6" s="236"/>
    </row>
    <row r="7" spans="1:7" ht="12.75">
      <c r="A7" s="237"/>
      <c r="B7" s="236"/>
      <c r="C7" s="236"/>
      <c r="D7" s="238"/>
      <c r="G7" s="237"/>
    </row>
    <row r="8" spans="2:3" ht="12.75">
      <c r="B8" s="236"/>
      <c r="C8" s="236"/>
    </row>
    <row r="12" spans="1:2" ht="12.75">
      <c r="A12" s="239"/>
      <c r="B12" s="239"/>
    </row>
    <row r="14" spans="1:17" ht="12.75">
      <c r="A14" s="234" t="s">
        <v>27</v>
      </c>
      <c r="I14" s="234" t="s">
        <v>28</v>
      </c>
      <c r="Q14" s="128" t="s">
        <v>32</v>
      </c>
    </row>
    <row r="15" spans="1:18" ht="12.75">
      <c r="A15" s="137" t="s">
        <v>0</v>
      </c>
      <c r="B15" s="138" t="s">
        <v>1</v>
      </c>
      <c r="E15" s="240"/>
      <c r="F15" s="240"/>
      <c r="G15" s="240"/>
      <c r="H15" s="240"/>
      <c r="I15" s="137" t="s">
        <v>0</v>
      </c>
      <c r="J15" s="138" t="s">
        <v>1</v>
      </c>
      <c r="M15" s="240"/>
      <c r="N15" s="240"/>
      <c r="O15" s="240"/>
      <c r="Q15" s="128" t="str">
        <f>+A15</f>
        <v>125 Hz</v>
      </c>
      <c r="R15" s="128" t="str">
        <f>+B15</f>
        <v>octave</v>
      </c>
    </row>
    <row r="16" spans="1:23" ht="12.75">
      <c r="A16" s="241"/>
      <c r="B16" s="242" t="s">
        <v>2</v>
      </c>
      <c r="C16" s="242" t="s">
        <v>3</v>
      </c>
      <c r="D16" s="243" t="s">
        <v>4</v>
      </c>
      <c r="E16" s="243" t="s">
        <v>5</v>
      </c>
      <c r="F16" s="242" t="s">
        <v>6</v>
      </c>
      <c r="G16" s="243" t="s">
        <v>7</v>
      </c>
      <c r="H16" s="244"/>
      <c r="I16" s="241"/>
      <c r="J16" s="242" t="s">
        <v>2</v>
      </c>
      <c r="K16" s="242" t="s">
        <v>3</v>
      </c>
      <c r="L16" s="243" t="s">
        <v>4</v>
      </c>
      <c r="M16" s="243" t="s">
        <v>5</v>
      </c>
      <c r="N16" s="242" t="s">
        <v>6</v>
      </c>
      <c r="O16" s="243" t="s">
        <v>7</v>
      </c>
      <c r="P16" s="157"/>
      <c r="Q16" s="128">
        <f>+A16</f>
        <v>0</v>
      </c>
      <c r="R16" s="128" t="str">
        <f>+B16</f>
        <v>S1R1</v>
      </c>
      <c r="S16" s="128" t="str">
        <f>+C16</f>
        <v>S1R2</v>
      </c>
      <c r="T16" s="128" t="str">
        <f>+D16</f>
        <v>S1R3</v>
      </c>
      <c r="U16" s="128" t="str">
        <f>+E16</f>
        <v>S2R1</v>
      </c>
      <c r="V16" s="128" t="str">
        <f>+F16</f>
        <v>S2R2</v>
      </c>
      <c r="W16" s="128" t="str">
        <f>+G16</f>
        <v>S2R3</v>
      </c>
    </row>
    <row r="17" spans="1:23" ht="12.75">
      <c r="A17" s="245" t="s">
        <v>8</v>
      </c>
      <c r="B17" s="246">
        <v>0.98</v>
      </c>
      <c r="C17" s="247">
        <v>0.99</v>
      </c>
      <c r="D17" s="247">
        <v>0.98</v>
      </c>
      <c r="E17" s="247">
        <v>0.97</v>
      </c>
      <c r="F17" s="247">
        <v>0.98</v>
      </c>
      <c r="G17" s="248">
        <v>0.97</v>
      </c>
      <c r="H17" s="249"/>
      <c r="I17" s="245" t="s">
        <v>8</v>
      </c>
      <c r="J17" s="246">
        <v>0.94</v>
      </c>
      <c r="K17" s="247">
        <v>0.94</v>
      </c>
      <c r="L17" s="247">
        <v>0.95</v>
      </c>
      <c r="M17" s="247">
        <v>0.92</v>
      </c>
      <c r="N17" s="247">
        <v>0.93</v>
      </c>
      <c r="O17" s="248">
        <v>0.93</v>
      </c>
      <c r="P17" s="158"/>
      <c r="Q17" s="128" t="str">
        <f aca="true" t="shared" si="0" ref="Q17:Q25">+A17</f>
        <v>T30/s</v>
      </c>
      <c r="R17" s="127">
        <f aca="true" t="shared" si="1" ref="R17:W25">+B17-J17</f>
        <v>0.040000000000000036</v>
      </c>
      <c r="S17" s="127">
        <f t="shared" si="1"/>
        <v>0.050000000000000044</v>
      </c>
      <c r="T17" s="127">
        <f t="shared" si="1"/>
        <v>0.030000000000000027</v>
      </c>
      <c r="U17" s="127">
        <f t="shared" si="1"/>
        <v>0.04999999999999993</v>
      </c>
      <c r="V17" s="127">
        <f t="shared" si="1"/>
        <v>0.04999999999999993</v>
      </c>
      <c r="W17" s="127">
        <f t="shared" si="1"/>
        <v>0.039999999999999925</v>
      </c>
    </row>
    <row r="18" spans="1:23" ht="12.75">
      <c r="A18" s="245" t="s">
        <v>9</v>
      </c>
      <c r="B18" s="250">
        <v>0.96</v>
      </c>
      <c r="C18" s="249">
        <v>0.96</v>
      </c>
      <c r="D18" s="249">
        <v>0.97</v>
      </c>
      <c r="E18" s="249">
        <v>0.93</v>
      </c>
      <c r="F18" s="249">
        <v>0.94</v>
      </c>
      <c r="G18" s="251">
        <v>0.97</v>
      </c>
      <c r="H18" s="249"/>
      <c r="I18" s="245" t="s">
        <v>9</v>
      </c>
      <c r="J18" s="250">
        <v>0.92</v>
      </c>
      <c r="K18" s="249">
        <v>0.94</v>
      </c>
      <c r="L18" s="249">
        <v>0.92</v>
      </c>
      <c r="M18" s="249">
        <v>0.89</v>
      </c>
      <c r="N18" s="249">
        <v>0.91</v>
      </c>
      <c r="O18" s="251">
        <v>0.89</v>
      </c>
      <c r="P18" s="158"/>
      <c r="Q18" s="128" t="str">
        <f t="shared" si="0"/>
        <v>EDT/s</v>
      </c>
      <c r="R18" s="127">
        <f t="shared" si="1"/>
        <v>0.039999999999999925</v>
      </c>
      <c r="S18" s="127">
        <f t="shared" si="1"/>
        <v>0.020000000000000018</v>
      </c>
      <c r="T18" s="127">
        <f t="shared" si="1"/>
        <v>0.04999999999999993</v>
      </c>
      <c r="U18" s="127">
        <f t="shared" si="1"/>
        <v>0.040000000000000036</v>
      </c>
      <c r="V18" s="127">
        <f t="shared" si="1"/>
        <v>0.029999999999999916</v>
      </c>
      <c r="W18" s="127">
        <f t="shared" si="1"/>
        <v>0.07999999999999996</v>
      </c>
    </row>
    <row r="19" spans="1:23" ht="12.75">
      <c r="A19" s="245" t="s">
        <v>10</v>
      </c>
      <c r="B19" s="250">
        <v>54.3</v>
      </c>
      <c r="C19" s="249">
        <v>57.1</v>
      </c>
      <c r="D19" s="249">
        <v>54.6</v>
      </c>
      <c r="E19" s="249">
        <v>60.5</v>
      </c>
      <c r="F19" s="249">
        <v>57.1</v>
      </c>
      <c r="G19" s="251">
        <v>60.3</v>
      </c>
      <c r="H19" s="249"/>
      <c r="I19" s="245" t="s">
        <v>10</v>
      </c>
      <c r="J19" s="250">
        <v>55.8</v>
      </c>
      <c r="K19" s="249">
        <v>58.8</v>
      </c>
      <c r="L19" s="249">
        <v>56.1</v>
      </c>
      <c r="M19" s="249">
        <v>61.8</v>
      </c>
      <c r="N19" s="249">
        <v>57.5</v>
      </c>
      <c r="O19" s="251">
        <v>64.1</v>
      </c>
      <c r="P19" s="158"/>
      <c r="Q19" s="128" t="str">
        <f t="shared" si="0"/>
        <v>D/%</v>
      </c>
      <c r="R19" s="127">
        <f t="shared" si="1"/>
        <v>-1.5</v>
      </c>
      <c r="S19" s="127">
        <f t="shared" si="1"/>
        <v>-1.6999999999999957</v>
      </c>
      <c r="T19" s="127">
        <f t="shared" si="1"/>
        <v>-1.5</v>
      </c>
      <c r="U19" s="127">
        <f t="shared" si="1"/>
        <v>-1.2999999999999972</v>
      </c>
      <c r="V19" s="127">
        <f t="shared" si="1"/>
        <v>-0.3999999999999986</v>
      </c>
      <c r="W19" s="127">
        <f t="shared" si="1"/>
        <v>-3.799999999999997</v>
      </c>
    </row>
    <row r="20" spans="1:23" ht="12.75">
      <c r="A20" s="245" t="s">
        <v>11</v>
      </c>
      <c r="B20" s="250">
        <v>4.1</v>
      </c>
      <c r="C20" s="249">
        <v>4.1</v>
      </c>
      <c r="D20" s="249">
        <v>3.5</v>
      </c>
      <c r="E20" s="249">
        <v>5</v>
      </c>
      <c r="F20" s="249">
        <v>4.1</v>
      </c>
      <c r="G20" s="251">
        <v>4.6</v>
      </c>
      <c r="H20" s="249"/>
      <c r="I20" s="245" t="s">
        <v>11</v>
      </c>
      <c r="J20" s="250">
        <v>4.2</v>
      </c>
      <c r="K20" s="249">
        <v>4.5</v>
      </c>
      <c r="L20" s="249">
        <v>4.1</v>
      </c>
      <c r="M20" s="249">
        <v>5.2</v>
      </c>
      <c r="N20" s="249">
        <v>4.1</v>
      </c>
      <c r="O20" s="251">
        <v>5.3</v>
      </c>
      <c r="P20" s="158"/>
      <c r="Q20" s="128" t="str">
        <f t="shared" si="0"/>
        <v>C/dB</v>
      </c>
      <c r="R20" s="127">
        <f t="shared" si="1"/>
        <v>-0.10000000000000053</v>
      </c>
      <c r="S20" s="127">
        <f t="shared" si="1"/>
        <v>-0.40000000000000036</v>
      </c>
      <c r="T20" s="127">
        <f t="shared" si="1"/>
        <v>-0.5999999999999996</v>
      </c>
      <c r="U20" s="127">
        <f t="shared" si="1"/>
        <v>-0.20000000000000018</v>
      </c>
      <c r="V20" s="127">
        <f t="shared" si="1"/>
        <v>0</v>
      </c>
      <c r="W20" s="127">
        <f t="shared" si="1"/>
        <v>-0.7000000000000002</v>
      </c>
    </row>
    <row r="21" spans="1:23" ht="12.75">
      <c r="A21" s="245" t="s">
        <v>12</v>
      </c>
      <c r="B21" s="250">
        <v>64.3</v>
      </c>
      <c r="C21" s="249">
        <v>60.4</v>
      </c>
      <c r="D21" s="249">
        <v>67.2</v>
      </c>
      <c r="E21" s="249">
        <v>55.5</v>
      </c>
      <c r="F21" s="249">
        <v>63.2</v>
      </c>
      <c r="G21" s="251">
        <v>56.8</v>
      </c>
      <c r="H21" s="249"/>
      <c r="I21" s="245" t="s">
        <v>12</v>
      </c>
      <c r="J21" s="250">
        <v>61.6</v>
      </c>
      <c r="K21" s="249">
        <v>57.9</v>
      </c>
      <c r="L21" s="249">
        <v>63.7</v>
      </c>
      <c r="M21" s="249">
        <v>53.2</v>
      </c>
      <c r="N21" s="249">
        <v>61.2</v>
      </c>
      <c r="O21" s="251">
        <v>51.5</v>
      </c>
      <c r="P21" s="158"/>
      <c r="Q21" s="128" t="str">
        <f t="shared" si="0"/>
        <v>TS/ms</v>
      </c>
      <c r="R21" s="127">
        <f t="shared" si="1"/>
        <v>2.6999999999999957</v>
      </c>
      <c r="S21" s="127">
        <f t="shared" si="1"/>
        <v>2.5</v>
      </c>
      <c r="T21" s="127">
        <f t="shared" si="1"/>
        <v>3.5</v>
      </c>
      <c r="U21" s="127">
        <f t="shared" si="1"/>
        <v>2.299999999999997</v>
      </c>
      <c r="V21" s="127">
        <f t="shared" si="1"/>
        <v>2</v>
      </c>
      <c r="W21" s="127">
        <f t="shared" si="1"/>
        <v>5.299999999999997</v>
      </c>
    </row>
    <row r="22" spans="1:23" ht="12.75">
      <c r="A22" s="245" t="s">
        <v>13</v>
      </c>
      <c r="B22" s="250">
        <v>18.5</v>
      </c>
      <c r="C22" s="249">
        <v>19.4</v>
      </c>
      <c r="D22" s="249">
        <v>18.4</v>
      </c>
      <c r="E22" s="249">
        <v>19.4</v>
      </c>
      <c r="F22" s="249">
        <v>18.7</v>
      </c>
      <c r="G22" s="251">
        <v>19.3</v>
      </c>
      <c r="H22" s="249"/>
      <c r="I22" s="245" t="s">
        <v>13</v>
      </c>
      <c r="J22" s="250">
        <v>18.4</v>
      </c>
      <c r="K22" s="249">
        <v>19.4</v>
      </c>
      <c r="L22" s="249">
        <v>18.2</v>
      </c>
      <c r="M22" s="249">
        <v>19.4</v>
      </c>
      <c r="N22" s="249">
        <v>18.5</v>
      </c>
      <c r="O22" s="251">
        <v>19.5</v>
      </c>
      <c r="P22" s="158"/>
      <c r="Q22" s="128" t="str">
        <f t="shared" si="0"/>
        <v>G/dB</v>
      </c>
      <c r="R22" s="127">
        <f t="shared" si="1"/>
        <v>0.10000000000000142</v>
      </c>
      <c r="S22" s="127">
        <f t="shared" si="1"/>
        <v>0</v>
      </c>
      <c r="T22" s="127">
        <f t="shared" si="1"/>
        <v>0.1999999999999993</v>
      </c>
      <c r="U22" s="127">
        <f t="shared" si="1"/>
        <v>0</v>
      </c>
      <c r="V22" s="127">
        <f t="shared" si="1"/>
        <v>0.1999999999999993</v>
      </c>
      <c r="W22" s="127">
        <f t="shared" si="1"/>
        <v>-0.1999999999999993</v>
      </c>
    </row>
    <row r="23" spans="1:23" ht="12.75">
      <c r="A23" s="245" t="s">
        <v>14</v>
      </c>
      <c r="B23" s="250">
        <v>27.7</v>
      </c>
      <c r="C23" s="249">
        <v>21.1</v>
      </c>
      <c r="D23" s="249">
        <v>26.7</v>
      </c>
      <c r="E23" s="249">
        <v>23.1</v>
      </c>
      <c r="F23" s="249">
        <v>25.9</v>
      </c>
      <c r="G23" s="251">
        <v>23.4</v>
      </c>
      <c r="H23" s="249"/>
      <c r="I23" s="245" t="s">
        <v>14</v>
      </c>
      <c r="J23" s="250">
        <v>25.2</v>
      </c>
      <c r="K23" s="249">
        <v>21.8</v>
      </c>
      <c r="L23" s="249">
        <v>27.4</v>
      </c>
      <c r="M23" s="249">
        <v>22.5</v>
      </c>
      <c r="N23" s="249">
        <v>24.6</v>
      </c>
      <c r="O23" s="251">
        <v>25</v>
      </c>
      <c r="P23" s="158"/>
      <c r="Q23" s="128" t="str">
        <f t="shared" si="0"/>
        <v>LF/%</v>
      </c>
      <c r="R23" s="127">
        <f t="shared" si="1"/>
        <v>2.5</v>
      </c>
      <c r="S23" s="127">
        <f t="shared" si="1"/>
        <v>-0.6999999999999993</v>
      </c>
      <c r="T23" s="127">
        <f t="shared" si="1"/>
        <v>-0.6999999999999993</v>
      </c>
      <c r="U23" s="127">
        <f t="shared" si="1"/>
        <v>0.6000000000000014</v>
      </c>
      <c r="V23" s="127">
        <f t="shared" si="1"/>
        <v>1.2999999999999972</v>
      </c>
      <c r="W23" s="127">
        <f t="shared" si="1"/>
        <v>-1.6000000000000014</v>
      </c>
    </row>
    <row r="24" spans="1:23" ht="12.75">
      <c r="A24" s="245" t="s">
        <v>15</v>
      </c>
      <c r="B24" s="250">
        <v>38.5</v>
      </c>
      <c r="C24" s="249">
        <v>30.8</v>
      </c>
      <c r="D24" s="249">
        <v>39.6</v>
      </c>
      <c r="E24" s="249">
        <v>32.9</v>
      </c>
      <c r="F24" s="249">
        <v>37.2</v>
      </c>
      <c r="G24" s="251">
        <v>33.9</v>
      </c>
      <c r="H24" s="249"/>
      <c r="I24" s="245" t="s">
        <v>15</v>
      </c>
      <c r="J24" s="250">
        <v>36.3</v>
      </c>
      <c r="K24" s="249">
        <v>32.1</v>
      </c>
      <c r="L24" s="249">
        <v>40.3</v>
      </c>
      <c r="M24" s="249">
        <v>32.5</v>
      </c>
      <c r="N24" s="249">
        <v>36.1</v>
      </c>
      <c r="O24" s="251">
        <v>36.4</v>
      </c>
      <c r="P24" s="158"/>
      <c r="Q24" s="128" t="str">
        <f t="shared" si="0"/>
        <v>LFC/%</v>
      </c>
      <c r="R24" s="127">
        <f t="shared" si="1"/>
        <v>2.200000000000003</v>
      </c>
      <c r="S24" s="127">
        <f t="shared" si="1"/>
        <v>-1.3000000000000007</v>
      </c>
      <c r="T24" s="127">
        <f t="shared" si="1"/>
        <v>-0.6999999999999957</v>
      </c>
      <c r="U24" s="127">
        <f t="shared" si="1"/>
        <v>0.3999999999999986</v>
      </c>
      <c r="V24" s="127">
        <f t="shared" si="1"/>
        <v>1.1000000000000014</v>
      </c>
      <c r="W24" s="127">
        <f t="shared" si="1"/>
        <v>-2.5</v>
      </c>
    </row>
    <row r="25" spans="1:23" ht="12.75">
      <c r="A25" s="252" t="s">
        <v>16</v>
      </c>
      <c r="B25" s="253">
        <v>0.93</v>
      </c>
      <c r="C25" s="254">
        <v>0.92</v>
      </c>
      <c r="D25" s="254">
        <v>0.98</v>
      </c>
      <c r="E25" s="254">
        <v>0.96</v>
      </c>
      <c r="F25" s="254">
        <v>0.95</v>
      </c>
      <c r="G25" s="255">
        <v>0.85</v>
      </c>
      <c r="H25" s="249"/>
      <c r="I25" s="252" t="s">
        <v>16</v>
      </c>
      <c r="J25" s="253">
        <v>0.92</v>
      </c>
      <c r="K25" s="254">
        <v>0.95</v>
      </c>
      <c r="L25" s="254">
        <v>0.97</v>
      </c>
      <c r="M25" s="254">
        <v>0.95</v>
      </c>
      <c r="N25" s="254">
        <v>0.97</v>
      </c>
      <c r="O25" s="255">
        <v>0.89</v>
      </c>
      <c r="P25" s="158"/>
      <c r="Q25" s="128" t="str">
        <f t="shared" si="0"/>
        <v>IACC</v>
      </c>
      <c r="R25" s="127">
        <f t="shared" si="1"/>
        <v>0.010000000000000009</v>
      </c>
      <c r="S25" s="127">
        <f t="shared" si="1"/>
        <v>-0.029999999999999916</v>
      </c>
      <c r="T25" s="127">
        <f t="shared" si="1"/>
        <v>0.010000000000000009</v>
      </c>
      <c r="U25" s="127">
        <f t="shared" si="1"/>
        <v>0.010000000000000009</v>
      </c>
      <c r="V25" s="127">
        <f t="shared" si="1"/>
        <v>-0.020000000000000018</v>
      </c>
      <c r="W25" s="127">
        <f t="shared" si="1"/>
        <v>-0.040000000000000036</v>
      </c>
    </row>
    <row r="26" spans="6:15" ht="12.75">
      <c r="F26" s="240"/>
      <c r="G26" s="240"/>
      <c r="H26" s="240"/>
      <c r="M26" s="240"/>
      <c r="N26" s="240"/>
      <c r="O26" s="240"/>
    </row>
    <row r="27" spans="1:18" ht="12.75">
      <c r="A27" s="137" t="s">
        <v>17</v>
      </c>
      <c r="B27" s="138" t="s">
        <v>1</v>
      </c>
      <c r="E27" s="240"/>
      <c r="F27" s="240"/>
      <c r="G27" s="240"/>
      <c r="H27" s="240"/>
      <c r="I27" s="137" t="s">
        <v>17</v>
      </c>
      <c r="J27" s="138" t="s">
        <v>1</v>
      </c>
      <c r="M27" s="240"/>
      <c r="N27" s="240"/>
      <c r="O27" s="240"/>
      <c r="Q27" s="128" t="str">
        <f>+A27</f>
        <v>250 Hz</v>
      </c>
      <c r="R27" s="128" t="str">
        <f>+B27</f>
        <v>octave</v>
      </c>
    </row>
    <row r="28" spans="1:23" ht="12.75">
      <c r="A28" s="241"/>
      <c r="B28" s="242" t="s">
        <v>2</v>
      </c>
      <c r="C28" s="242" t="s">
        <v>3</v>
      </c>
      <c r="D28" s="243" t="s">
        <v>4</v>
      </c>
      <c r="E28" s="243" t="s">
        <v>5</v>
      </c>
      <c r="F28" s="242" t="s">
        <v>6</v>
      </c>
      <c r="G28" s="243" t="s">
        <v>7</v>
      </c>
      <c r="H28" s="244"/>
      <c r="I28" s="241"/>
      <c r="J28" s="242" t="s">
        <v>2</v>
      </c>
      <c r="K28" s="242" t="s">
        <v>3</v>
      </c>
      <c r="L28" s="243" t="s">
        <v>4</v>
      </c>
      <c r="M28" s="243" t="s">
        <v>5</v>
      </c>
      <c r="N28" s="242" t="s">
        <v>6</v>
      </c>
      <c r="O28" s="243" t="s">
        <v>7</v>
      </c>
      <c r="P28" s="157"/>
      <c r="Q28" s="128">
        <f>+A28</f>
        <v>0</v>
      </c>
      <c r="R28" s="128" t="str">
        <f>+B28</f>
        <v>S1R1</v>
      </c>
      <c r="S28" s="128" t="str">
        <f>+C28</f>
        <v>S1R2</v>
      </c>
      <c r="T28" s="128" t="str">
        <f>+D28</f>
        <v>S1R3</v>
      </c>
      <c r="U28" s="128" t="str">
        <f>+E28</f>
        <v>S2R1</v>
      </c>
      <c r="V28" s="128" t="str">
        <f>+F28</f>
        <v>S2R2</v>
      </c>
      <c r="W28" s="128" t="str">
        <f>+G28</f>
        <v>S2R3</v>
      </c>
    </row>
    <row r="29" spans="1:23" ht="12.75">
      <c r="A29" s="245" t="s">
        <v>8</v>
      </c>
      <c r="B29" s="256">
        <v>1.2</v>
      </c>
      <c r="C29" s="257">
        <v>1.2</v>
      </c>
      <c r="D29" s="257">
        <v>1.2</v>
      </c>
      <c r="E29" s="257">
        <v>1.19</v>
      </c>
      <c r="F29" s="257">
        <v>1.2</v>
      </c>
      <c r="G29" s="258">
        <v>1.2</v>
      </c>
      <c r="H29" s="249"/>
      <c r="I29" s="245" t="s">
        <v>8</v>
      </c>
      <c r="J29" s="246">
        <v>0.97</v>
      </c>
      <c r="K29" s="247">
        <v>0.97</v>
      </c>
      <c r="L29" s="247">
        <v>0.97</v>
      </c>
      <c r="M29" s="247">
        <v>0.97</v>
      </c>
      <c r="N29" s="247">
        <v>0.97</v>
      </c>
      <c r="O29" s="248">
        <v>0.97</v>
      </c>
      <c r="P29" s="158"/>
      <c r="Q29" s="128" t="str">
        <f aca="true" t="shared" si="2" ref="Q29:Q37">+A29</f>
        <v>T30/s</v>
      </c>
      <c r="R29" s="127">
        <f aca="true" t="shared" si="3" ref="R29:W37">+B29-J29</f>
        <v>0.22999999999999998</v>
      </c>
      <c r="S29" s="127">
        <f t="shared" si="3"/>
        <v>0.22999999999999998</v>
      </c>
      <c r="T29" s="127">
        <f t="shared" si="3"/>
        <v>0.22999999999999998</v>
      </c>
      <c r="U29" s="127">
        <f t="shared" si="3"/>
        <v>0.21999999999999997</v>
      </c>
      <c r="V29" s="127">
        <f t="shared" si="3"/>
        <v>0.22999999999999998</v>
      </c>
      <c r="W29" s="127">
        <f t="shared" si="3"/>
        <v>0.22999999999999998</v>
      </c>
    </row>
    <row r="30" spans="1:23" ht="12.75">
      <c r="A30" s="245" t="s">
        <v>9</v>
      </c>
      <c r="B30" s="259">
        <v>1.2</v>
      </c>
      <c r="C30" s="260">
        <v>1.19</v>
      </c>
      <c r="D30" s="260">
        <v>1.22</v>
      </c>
      <c r="E30" s="260">
        <v>1.18</v>
      </c>
      <c r="F30" s="260">
        <v>1.21</v>
      </c>
      <c r="G30" s="261">
        <v>1.19</v>
      </c>
      <c r="H30" s="249"/>
      <c r="I30" s="245" t="s">
        <v>9</v>
      </c>
      <c r="J30" s="250">
        <v>0.97</v>
      </c>
      <c r="K30" s="249">
        <v>0.96</v>
      </c>
      <c r="L30" s="249">
        <v>0.96</v>
      </c>
      <c r="M30" s="249">
        <v>0.93</v>
      </c>
      <c r="N30" s="249">
        <v>0.96</v>
      </c>
      <c r="O30" s="251">
        <v>0.98</v>
      </c>
      <c r="P30" s="158"/>
      <c r="Q30" s="128" t="str">
        <f t="shared" si="2"/>
        <v>EDT/s</v>
      </c>
      <c r="R30" s="127">
        <f t="shared" si="3"/>
        <v>0.22999999999999998</v>
      </c>
      <c r="S30" s="127">
        <f t="shared" si="3"/>
        <v>0.22999999999999998</v>
      </c>
      <c r="T30" s="127">
        <f t="shared" si="3"/>
        <v>0.26</v>
      </c>
      <c r="U30" s="127">
        <f t="shared" si="3"/>
        <v>0.2499999999999999</v>
      </c>
      <c r="V30" s="127">
        <f t="shared" si="3"/>
        <v>0.25</v>
      </c>
      <c r="W30" s="127">
        <f t="shared" si="3"/>
        <v>0.20999999999999996</v>
      </c>
    </row>
    <row r="31" spans="1:23" ht="12.75">
      <c r="A31" s="245" t="s">
        <v>10</v>
      </c>
      <c r="B31" s="250">
        <v>47.4</v>
      </c>
      <c r="C31" s="249">
        <v>49.1</v>
      </c>
      <c r="D31" s="249">
        <v>44.2</v>
      </c>
      <c r="E31" s="249">
        <v>52</v>
      </c>
      <c r="F31" s="249">
        <v>46.3</v>
      </c>
      <c r="G31" s="251">
        <v>53.7</v>
      </c>
      <c r="H31" s="249"/>
      <c r="I31" s="245" t="s">
        <v>10</v>
      </c>
      <c r="J31" s="262">
        <v>52.9</v>
      </c>
      <c r="K31" s="263">
        <v>58.1</v>
      </c>
      <c r="L31" s="263">
        <v>52</v>
      </c>
      <c r="M31" s="263">
        <v>60</v>
      </c>
      <c r="N31" s="263">
        <v>55.5</v>
      </c>
      <c r="O31" s="264">
        <v>59.7</v>
      </c>
      <c r="P31" s="158"/>
      <c r="Q31" s="128" t="str">
        <f t="shared" si="2"/>
        <v>D/%</v>
      </c>
      <c r="R31" s="127">
        <f t="shared" si="3"/>
        <v>-5.5</v>
      </c>
      <c r="S31" s="127">
        <f t="shared" si="3"/>
        <v>-9</v>
      </c>
      <c r="T31" s="127">
        <f t="shared" si="3"/>
        <v>-7.799999999999997</v>
      </c>
      <c r="U31" s="127">
        <f t="shared" si="3"/>
        <v>-8</v>
      </c>
      <c r="V31" s="127">
        <f t="shared" si="3"/>
        <v>-9.200000000000003</v>
      </c>
      <c r="W31" s="127">
        <f t="shared" si="3"/>
        <v>-6</v>
      </c>
    </row>
    <row r="32" spans="1:23" ht="12.75">
      <c r="A32" s="245" t="s">
        <v>11</v>
      </c>
      <c r="B32" s="250">
        <v>2.2</v>
      </c>
      <c r="C32" s="249">
        <v>2.5</v>
      </c>
      <c r="D32" s="249">
        <v>1.8</v>
      </c>
      <c r="E32" s="249">
        <v>3.1</v>
      </c>
      <c r="F32" s="249">
        <v>2.1</v>
      </c>
      <c r="G32" s="251">
        <v>3.1</v>
      </c>
      <c r="H32" s="249"/>
      <c r="I32" s="245" t="s">
        <v>11</v>
      </c>
      <c r="J32" s="250">
        <v>3.7</v>
      </c>
      <c r="K32" s="249">
        <v>4.3</v>
      </c>
      <c r="L32" s="249">
        <v>3.3</v>
      </c>
      <c r="M32" s="249">
        <v>4.7</v>
      </c>
      <c r="N32" s="249">
        <v>3.7</v>
      </c>
      <c r="O32" s="251">
        <v>4.6</v>
      </c>
      <c r="P32" s="158"/>
      <c r="Q32" s="128" t="str">
        <f t="shared" si="2"/>
        <v>C/dB</v>
      </c>
      <c r="R32" s="127">
        <f t="shared" si="3"/>
        <v>-1.5</v>
      </c>
      <c r="S32" s="127">
        <f t="shared" si="3"/>
        <v>-1.7999999999999998</v>
      </c>
      <c r="T32" s="127">
        <f t="shared" si="3"/>
        <v>-1.4999999999999998</v>
      </c>
      <c r="U32" s="127">
        <f t="shared" si="3"/>
        <v>-1.6</v>
      </c>
      <c r="V32" s="127">
        <f t="shared" si="3"/>
        <v>-1.6</v>
      </c>
      <c r="W32" s="127">
        <f t="shared" si="3"/>
        <v>-1.4999999999999996</v>
      </c>
    </row>
    <row r="33" spans="1:23" ht="12.75">
      <c r="A33" s="245" t="s">
        <v>12</v>
      </c>
      <c r="B33" s="250">
        <v>81.7</v>
      </c>
      <c r="C33" s="249">
        <v>77.6</v>
      </c>
      <c r="D33" s="249">
        <v>86</v>
      </c>
      <c r="E33" s="249">
        <v>73</v>
      </c>
      <c r="F33" s="249">
        <v>83</v>
      </c>
      <c r="G33" s="251">
        <v>72.5</v>
      </c>
      <c r="H33" s="249"/>
      <c r="I33" s="245" t="s">
        <v>12</v>
      </c>
      <c r="J33" s="250">
        <v>66.1</v>
      </c>
      <c r="K33" s="249">
        <v>59.9</v>
      </c>
      <c r="L33" s="249">
        <v>68.4</v>
      </c>
      <c r="M33" s="263">
        <v>57</v>
      </c>
      <c r="N33" s="249">
        <v>65.2</v>
      </c>
      <c r="O33" s="251">
        <v>57.6</v>
      </c>
      <c r="P33" s="158"/>
      <c r="Q33" s="128" t="str">
        <f t="shared" si="2"/>
        <v>TS/ms</v>
      </c>
      <c r="R33" s="127">
        <f t="shared" si="3"/>
        <v>15.600000000000009</v>
      </c>
      <c r="S33" s="127">
        <f t="shared" si="3"/>
        <v>17.699999999999996</v>
      </c>
      <c r="T33" s="127">
        <f t="shared" si="3"/>
        <v>17.599999999999994</v>
      </c>
      <c r="U33" s="127">
        <f t="shared" si="3"/>
        <v>16</v>
      </c>
      <c r="V33" s="127">
        <f t="shared" si="3"/>
        <v>17.799999999999997</v>
      </c>
      <c r="W33" s="127">
        <f t="shared" si="3"/>
        <v>14.899999999999999</v>
      </c>
    </row>
    <row r="34" spans="1:23" ht="12.75">
      <c r="A34" s="245" t="s">
        <v>13</v>
      </c>
      <c r="B34" s="250">
        <v>19.6</v>
      </c>
      <c r="C34" s="249">
        <v>20.3</v>
      </c>
      <c r="D34" s="249">
        <v>19.4</v>
      </c>
      <c r="E34" s="249">
        <v>20.2</v>
      </c>
      <c r="F34" s="249">
        <v>19.6</v>
      </c>
      <c r="G34" s="251">
        <v>20.4</v>
      </c>
      <c r="H34" s="249"/>
      <c r="I34" s="245" t="s">
        <v>13</v>
      </c>
      <c r="J34" s="250">
        <v>18.6</v>
      </c>
      <c r="K34" s="249">
        <v>19.6</v>
      </c>
      <c r="L34" s="249">
        <v>18.7</v>
      </c>
      <c r="M34" s="249">
        <v>19.5</v>
      </c>
      <c r="N34" s="249">
        <v>18.8</v>
      </c>
      <c r="O34" s="251">
        <v>19.6</v>
      </c>
      <c r="P34" s="158"/>
      <c r="Q34" s="128" t="str">
        <f t="shared" si="2"/>
        <v>G/dB</v>
      </c>
      <c r="R34" s="127">
        <f t="shared" si="3"/>
        <v>1</v>
      </c>
      <c r="S34" s="127">
        <f t="shared" si="3"/>
        <v>0.6999999999999993</v>
      </c>
      <c r="T34" s="127">
        <f t="shared" si="3"/>
        <v>0.6999999999999993</v>
      </c>
      <c r="U34" s="127">
        <f t="shared" si="3"/>
        <v>0.6999999999999993</v>
      </c>
      <c r="V34" s="127">
        <f t="shared" si="3"/>
        <v>0.8000000000000007</v>
      </c>
      <c r="W34" s="127">
        <f t="shared" si="3"/>
        <v>0.7999999999999972</v>
      </c>
    </row>
    <row r="35" spans="1:23" ht="12.75">
      <c r="A35" s="245" t="s">
        <v>14</v>
      </c>
      <c r="B35" s="250">
        <v>28</v>
      </c>
      <c r="C35" s="249">
        <v>22.7</v>
      </c>
      <c r="D35" s="249">
        <v>27.2</v>
      </c>
      <c r="E35" s="249">
        <v>21.8</v>
      </c>
      <c r="F35" s="249">
        <v>24.4</v>
      </c>
      <c r="G35" s="251">
        <v>28.5</v>
      </c>
      <c r="H35" s="249"/>
      <c r="I35" s="245" t="s">
        <v>14</v>
      </c>
      <c r="J35" s="250">
        <v>26.4</v>
      </c>
      <c r="K35" s="249">
        <v>22.3</v>
      </c>
      <c r="L35" s="249">
        <v>26.1</v>
      </c>
      <c r="M35" s="249">
        <v>21.4</v>
      </c>
      <c r="N35" s="249">
        <v>26.1</v>
      </c>
      <c r="O35" s="251">
        <v>24.8</v>
      </c>
      <c r="P35" s="158"/>
      <c r="Q35" s="128" t="str">
        <f t="shared" si="2"/>
        <v>LF/%</v>
      </c>
      <c r="R35" s="127">
        <f t="shared" si="3"/>
        <v>1.6000000000000014</v>
      </c>
      <c r="S35" s="127">
        <f t="shared" si="3"/>
        <v>0.3999999999999986</v>
      </c>
      <c r="T35" s="127">
        <f t="shared" si="3"/>
        <v>1.0999999999999979</v>
      </c>
      <c r="U35" s="127">
        <f t="shared" si="3"/>
        <v>0.40000000000000213</v>
      </c>
      <c r="V35" s="127">
        <f t="shared" si="3"/>
        <v>-1.7000000000000028</v>
      </c>
      <c r="W35" s="127">
        <f t="shared" si="3"/>
        <v>3.6999999999999993</v>
      </c>
    </row>
    <row r="36" spans="1:23" ht="12.75">
      <c r="A36" s="245" t="s">
        <v>15</v>
      </c>
      <c r="B36" s="250">
        <v>39.8</v>
      </c>
      <c r="C36" s="249">
        <v>33.7</v>
      </c>
      <c r="D36" s="249">
        <v>40.8</v>
      </c>
      <c r="E36" s="249">
        <v>32.2</v>
      </c>
      <c r="F36" s="249">
        <v>36.6</v>
      </c>
      <c r="G36" s="251">
        <v>39.3</v>
      </c>
      <c r="H36" s="249"/>
      <c r="I36" s="245" t="s">
        <v>15</v>
      </c>
      <c r="J36" s="250">
        <v>37.7</v>
      </c>
      <c r="K36" s="249">
        <v>32.7</v>
      </c>
      <c r="L36" s="249">
        <v>39.4</v>
      </c>
      <c r="M36" s="249">
        <v>32</v>
      </c>
      <c r="N36" s="249">
        <v>38.4</v>
      </c>
      <c r="O36" s="251">
        <v>35.9</v>
      </c>
      <c r="P36" s="158"/>
      <c r="Q36" s="128" t="str">
        <f t="shared" si="2"/>
        <v>LFC/%</v>
      </c>
      <c r="R36" s="127">
        <f t="shared" si="3"/>
        <v>2.0999999999999943</v>
      </c>
      <c r="S36" s="127">
        <f t="shared" si="3"/>
        <v>1</v>
      </c>
      <c r="T36" s="127">
        <f t="shared" si="3"/>
        <v>1.3999999999999986</v>
      </c>
      <c r="U36" s="127">
        <f t="shared" si="3"/>
        <v>0.20000000000000284</v>
      </c>
      <c r="V36" s="127">
        <f t="shared" si="3"/>
        <v>-1.7999999999999972</v>
      </c>
      <c r="W36" s="127">
        <f t="shared" si="3"/>
        <v>3.3999999999999986</v>
      </c>
    </row>
    <row r="37" spans="1:23" ht="12.75">
      <c r="A37" s="252" t="s">
        <v>16</v>
      </c>
      <c r="B37" s="253">
        <v>0.69</v>
      </c>
      <c r="C37" s="254">
        <v>0.82</v>
      </c>
      <c r="D37" s="254">
        <v>0.88</v>
      </c>
      <c r="E37" s="254">
        <v>0.86</v>
      </c>
      <c r="F37" s="254">
        <v>0.85</v>
      </c>
      <c r="G37" s="255">
        <v>0.73</v>
      </c>
      <c r="H37" s="249"/>
      <c r="I37" s="252" t="s">
        <v>16</v>
      </c>
      <c r="J37" s="253">
        <v>0.75</v>
      </c>
      <c r="K37" s="254">
        <v>0.87</v>
      </c>
      <c r="L37" s="265">
        <v>0.8</v>
      </c>
      <c r="M37" s="254">
        <v>0.73</v>
      </c>
      <c r="N37" s="254">
        <v>0.77</v>
      </c>
      <c r="O37" s="255">
        <v>0.81</v>
      </c>
      <c r="P37" s="158"/>
      <c r="Q37" s="128" t="str">
        <f t="shared" si="2"/>
        <v>IACC</v>
      </c>
      <c r="R37" s="127">
        <f t="shared" si="3"/>
        <v>-0.06000000000000005</v>
      </c>
      <c r="S37" s="127">
        <f t="shared" si="3"/>
        <v>-0.050000000000000044</v>
      </c>
      <c r="T37" s="127">
        <f t="shared" si="3"/>
        <v>0.07999999999999996</v>
      </c>
      <c r="U37" s="127">
        <f t="shared" si="3"/>
        <v>0.13</v>
      </c>
      <c r="V37" s="127">
        <f t="shared" si="3"/>
        <v>0.07999999999999996</v>
      </c>
      <c r="W37" s="127">
        <f t="shared" si="3"/>
        <v>-0.08000000000000007</v>
      </c>
    </row>
    <row r="38" spans="6:15" ht="12.75">
      <c r="F38" s="240"/>
      <c r="G38" s="240"/>
      <c r="H38" s="240"/>
      <c r="M38" s="240"/>
      <c r="N38" s="240"/>
      <c r="O38" s="240"/>
    </row>
    <row r="39" spans="1:18" ht="12.75">
      <c r="A39" s="137" t="s">
        <v>18</v>
      </c>
      <c r="B39" s="138" t="s">
        <v>1</v>
      </c>
      <c r="F39" s="240"/>
      <c r="G39" s="240"/>
      <c r="H39" s="240"/>
      <c r="I39" s="137" t="s">
        <v>18</v>
      </c>
      <c r="J39" s="138" t="s">
        <v>1</v>
      </c>
      <c r="M39" s="240"/>
      <c r="N39" s="240"/>
      <c r="O39" s="240"/>
      <c r="Q39" s="128" t="str">
        <f>+A39</f>
        <v>500 Hz</v>
      </c>
      <c r="R39" s="128" t="str">
        <f>+B39</f>
        <v>octave</v>
      </c>
    </row>
    <row r="40" spans="1:23" ht="12.75">
      <c r="A40" s="241"/>
      <c r="B40" s="242" t="s">
        <v>2</v>
      </c>
      <c r="C40" s="242" t="s">
        <v>3</v>
      </c>
      <c r="D40" s="243" t="s">
        <v>4</v>
      </c>
      <c r="E40" s="243" t="s">
        <v>5</v>
      </c>
      <c r="F40" s="242" t="s">
        <v>6</v>
      </c>
      <c r="G40" s="243" t="s">
        <v>7</v>
      </c>
      <c r="H40" s="244"/>
      <c r="I40" s="241"/>
      <c r="J40" s="242" t="s">
        <v>2</v>
      </c>
      <c r="K40" s="242" t="s">
        <v>3</v>
      </c>
      <c r="L40" s="243" t="s">
        <v>4</v>
      </c>
      <c r="M40" s="243" t="s">
        <v>5</v>
      </c>
      <c r="N40" s="242" t="s">
        <v>6</v>
      </c>
      <c r="O40" s="243" t="s">
        <v>7</v>
      </c>
      <c r="P40" s="157"/>
      <c r="Q40" s="128">
        <f>+A40</f>
        <v>0</v>
      </c>
      <c r="R40" s="128" t="str">
        <f>+B40</f>
        <v>S1R1</v>
      </c>
      <c r="S40" s="128" t="str">
        <f>+C40</f>
        <v>S1R2</v>
      </c>
      <c r="T40" s="128" t="str">
        <f>+D40</f>
        <v>S1R3</v>
      </c>
      <c r="U40" s="128" t="str">
        <f>+E40</f>
        <v>S2R1</v>
      </c>
      <c r="V40" s="128" t="str">
        <f>+F40</f>
        <v>S2R2</v>
      </c>
      <c r="W40" s="128" t="str">
        <f>+G40</f>
        <v>S2R3</v>
      </c>
    </row>
    <row r="41" spans="1:23" ht="12.75">
      <c r="A41" s="245" t="s">
        <v>8</v>
      </c>
      <c r="B41" s="246">
        <v>1.16</v>
      </c>
      <c r="C41" s="247">
        <v>1.16</v>
      </c>
      <c r="D41" s="247">
        <v>1.16</v>
      </c>
      <c r="E41" s="247">
        <v>1.14</v>
      </c>
      <c r="F41" s="247">
        <v>1.15</v>
      </c>
      <c r="G41" s="248">
        <v>1.15</v>
      </c>
      <c r="H41" s="249"/>
      <c r="I41" s="245" t="s">
        <v>8</v>
      </c>
      <c r="J41" s="246">
        <v>0.93</v>
      </c>
      <c r="K41" s="247">
        <v>0.93</v>
      </c>
      <c r="L41" s="247">
        <v>0.93</v>
      </c>
      <c r="M41" s="247">
        <v>0.93</v>
      </c>
      <c r="N41" s="247">
        <v>0.93</v>
      </c>
      <c r="O41" s="248">
        <v>0.93</v>
      </c>
      <c r="P41" s="158"/>
      <c r="Q41" s="128" t="str">
        <f aca="true" t="shared" si="4" ref="Q41:Q49">+A41</f>
        <v>T30/s</v>
      </c>
      <c r="R41" s="127">
        <f aca="true" t="shared" si="5" ref="R41:W49">+B41-J41</f>
        <v>0.22999999999999987</v>
      </c>
      <c r="S41" s="127">
        <f t="shared" si="5"/>
        <v>0.22999999999999987</v>
      </c>
      <c r="T41" s="127">
        <f t="shared" si="5"/>
        <v>0.22999999999999987</v>
      </c>
      <c r="U41" s="127">
        <f t="shared" si="5"/>
        <v>0.20999999999999985</v>
      </c>
      <c r="V41" s="127">
        <f t="shared" si="5"/>
        <v>0.21999999999999986</v>
      </c>
      <c r="W41" s="127">
        <f t="shared" si="5"/>
        <v>0.21999999999999986</v>
      </c>
    </row>
    <row r="42" spans="1:23" ht="12.75">
      <c r="A42" s="245" t="s">
        <v>9</v>
      </c>
      <c r="B42" s="250">
        <v>1.17</v>
      </c>
      <c r="C42" s="249">
        <v>1.13</v>
      </c>
      <c r="D42" s="249">
        <v>1.18</v>
      </c>
      <c r="E42" s="249">
        <v>1.16</v>
      </c>
      <c r="F42" s="249">
        <v>1.17</v>
      </c>
      <c r="G42" s="251">
        <v>1.14</v>
      </c>
      <c r="H42" s="249"/>
      <c r="I42" s="245" t="s">
        <v>9</v>
      </c>
      <c r="J42" s="250">
        <v>0.96</v>
      </c>
      <c r="K42" s="249">
        <v>0.91</v>
      </c>
      <c r="L42" s="249">
        <v>0.93</v>
      </c>
      <c r="M42" s="249">
        <v>0.91</v>
      </c>
      <c r="N42" s="249">
        <v>0.92</v>
      </c>
      <c r="O42" s="251">
        <v>0.91</v>
      </c>
      <c r="P42" s="158"/>
      <c r="Q42" s="128" t="str">
        <f t="shared" si="4"/>
        <v>EDT/s</v>
      </c>
      <c r="R42" s="127">
        <f t="shared" si="5"/>
        <v>0.20999999999999996</v>
      </c>
      <c r="S42" s="127">
        <f t="shared" si="5"/>
        <v>0.21999999999999986</v>
      </c>
      <c r="T42" s="127">
        <f t="shared" si="5"/>
        <v>0.2499999999999999</v>
      </c>
      <c r="U42" s="127">
        <f t="shared" si="5"/>
        <v>0.2499999999999999</v>
      </c>
      <c r="V42" s="127">
        <f t="shared" si="5"/>
        <v>0.2499999999999999</v>
      </c>
      <c r="W42" s="127">
        <f t="shared" si="5"/>
        <v>0.22999999999999987</v>
      </c>
    </row>
    <row r="43" spans="1:23" ht="12.75">
      <c r="A43" s="245" t="s">
        <v>10</v>
      </c>
      <c r="B43" s="250">
        <v>47.4</v>
      </c>
      <c r="C43" s="249">
        <v>52.7</v>
      </c>
      <c r="D43" s="249">
        <v>44.6</v>
      </c>
      <c r="E43" s="249">
        <v>52.7</v>
      </c>
      <c r="F43" s="263">
        <v>47</v>
      </c>
      <c r="G43" s="251">
        <v>52.6</v>
      </c>
      <c r="H43" s="249"/>
      <c r="I43" s="245" t="s">
        <v>10</v>
      </c>
      <c r="J43" s="250">
        <v>55.6</v>
      </c>
      <c r="K43" s="249">
        <v>58.2</v>
      </c>
      <c r="L43" s="249">
        <v>55.7</v>
      </c>
      <c r="M43" s="249">
        <v>59.5</v>
      </c>
      <c r="N43" s="249">
        <v>56.9</v>
      </c>
      <c r="O43" s="251">
        <v>60.8</v>
      </c>
      <c r="P43" s="158"/>
      <c r="Q43" s="128" t="str">
        <f t="shared" si="4"/>
        <v>D/%</v>
      </c>
      <c r="R43" s="127">
        <f t="shared" si="5"/>
        <v>-8.200000000000003</v>
      </c>
      <c r="S43" s="127">
        <f t="shared" si="5"/>
        <v>-5.5</v>
      </c>
      <c r="T43" s="127">
        <f t="shared" si="5"/>
        <v>-11.100000000000001</v>
      </c>
      <c r="U43" s="127">
        <f t="shared" si="5"/>
        <v>-6.799999999999997</v>
      </c>
      <c r="V43" s="127">
        <f t="shared" si="5"/>
        <v>-9.899999999999999</v>
      </c>
      <c r="W43" s="127">
        <f t="shared" si="5"/>
        <v>-8.199999999999996</v>
      </c>
    </row>
    <row r="44" spans="1:23" ht="12.75">
      <c r="A44" s="245" t="s">
        <v>11</v>
      </c>
      <c r="B44" s="250">
        <v>2.2</v>
      </c>
      <c r="C44" s="249">
        <v>3.1</v>
      </c>
      <c r="D44" s="249">
        <v>1.7</v>
      </c>
      <c r="E44" s="249">
        <v>3.3</v>
      </c>
      <c r="F44" s="249">
        <v>2.2</v>
      </c>
      <c r="G44" s="251">
        <v>3.2</v>
      </c>
      <c r="H44" s="249"/>
      <c r="I44" s="245" t="s">
        <v>11</v>
      </c>
      <c r="J44" s="250">
        <v>3.9</v>
      </c>
      <c r="K44" s="249">
        <v>4.4</v>
      </c>
      <c r="L44" s="249">
        <v>3.9</v>
      </c>
      <c r="M44" s="249">
        <v>4.8</v>
      </c>
      <c r="N44" s="249">
        <v>4</v>
      </c>
      <c r="O44" s="251">
        <v>4.9</v>
      </c>
      <c r="P44" s="158"/>
      <c r="Q44" s="128" t="str">
        <f t="shared" si="4"/>
        <v>C/dB</v>
      </c>
      <c r="R44" s="127">
        <f t="shared" si="5"/>
        <v>-1.6999999999999997</v>
      </c>
      <c r="S44" s="127">
        <f t="shared" si="5"/>
        <v>-1.3000000000000003</v>
      </c>
      <c r="T44" s="127">
        <f t="shared" si="5"/>
        <v>-2.2</v>
      </c>
      <c r="U44" s="127">
        <f t="shared" si="5"/>
        <v>-1.5</v>
      </c>
      <c r="V44" s="127">
        <f t="shared" si="5"/>
        <v>-1.7999999999999998</v>
      </c>
      <c r="W44" s="127">
        <f t="shared" si="5"/>
        <v>-1.7000000000000002</v>
      </c>
    </row>
    <row r="45" spans="1:23" ht="12.75">
      <c r="A45" s="245" t="s">
        <v>12</v>
      </c>
      <c r="B45" s="250">
        <v>80.7</v>
      </c>
      <c r="C45" s="249">
        <v>72.6</v>
      </c>
      <c r="D45" s="249">
        <v>84.2</v>
      </c>
      <c r="E45" s="249">
        <v>69.9</v>
      </c>
      <c r="F45" s="249">
        <v>81.1</v>
      </c>
      <c r="G45" s="251">
        <v>71.7</v>
      </c>
      <c r="H45" s="249"/>
      <c r="I45" s="245" t="s">
        <v>12</v>
      </c>
      <c r="J45" s="250">
        <v>63.2</v>
      </c>
      <c r="K45" s="249">
        <v>58.2</v>
      </c>
      <c r="L45" s="249">
        <v>64.5</v>
      </c>
      <c r="M45" s="249">
        <v>55.9</v>
      </c>
      <c r="N45" s="249">
        <v>62.5</v>
      </c>
      <c r="O45" s="251">
        <v>55.4</v>
      </c>
      <c r="P45" s="158"/>
      <c r="Q45" s="128" t="str">
        <f t="shared" si="4"/>
        <v>TS/ms</v>
      </c>
      <c r="R45" s="127">
        <f t="shared" si="5"/>
        <v>17.5</v>
      </c>
      <c r="S45" s="127">
        <f t="shared" si="5"/>
        <v>14.399999999999991</v>
      </c>
      <c r="T45" s="127">
        <f t="shared" si="5"/>
        <v>19.700000000000003</v>
      </c>
      <c r="U45" s="127">
        <f t="shared" si="5"/>
        <v>14.000000000000007</v>
      </c>
      <c r="V45" s="127">
        <f t="shared" si="5"/>
        <v>18.599999999999994</v>
      </c>
      <c r="W45" s="127">
        <f t="shared" si="5"/>
        <v>16.300000000000004</v>
      </c>
    </row>
    <row r="46" spans="1:23" ht="12.75">
      <c r="A46" s="245" t="s">
        <v>13</v>
      </c>
      <c r="B46" s="250">
        <v>19.2</v>
      </c>
      <c r="C46" s="249">
        <v>20.3</v>
      </c>
      <c r="D46" s="249">
        <v>19.2</v>
      </c>
      <c r="E46" s="249">
        <v>20</v>
      </c>
      <c r="F46" s="249">
        <v>19.3</v>
      </c>
      <c r="G46" s="251">
        <v>20.1</v>
      </c>
      <c r="H46" s="249"/>
      <c r="I46" s="245" t="s">
        <v>13</v>
      </c>
      <c r="J46" s="250">
        <v>18.3</v>
      </c>
      <c r="K46" s="249">
        <v>19.5</v>
      </c>
      <c r="L46" s="249">
        <v>18.5</v>
      </c>
      <c r="M46" s="249">
        <v>19.2</v>
      </c>
      <c r="N46" s="249">
        <v>18.7</v>
      </c>
      <c r="O46" s="251">
        <v>19.6</v>
      </c>
      <c r="P46" s="158"/>
      <c r="Q46" s="128" t="str">
        <f t="shared" si="4"/>
        <v>G/dB</v>
      </c>
      <c r="R46" s="127">
        <f t="shared" si="5"/>
        <v>0.8999999999999986</v>
      </c>
      <c r="S46" s="127">
        <f t="shared" si="5"/>
        <v>0.8000000000000007</v>
      </c>
      <c r="T46" s="127">
        <f t="shared" si="5"/>
        <v>0.6999999999999993</v>
      </c>
      <c r="U46" s="127">
        <f t="shared" si="5"/>
        <v>0.8000000000000007</v>
      </c>
      <c r="V46" s="127">
        <f t="shared" si="5"/>
        <v>0.6000000000000014</v>
      </c>
      <c r="W46" s="127">
        <f t="shared" si="5"/>
        <v>0.5</v>
      </c>
    </row>
    <row r="47" spans="1:23" ht="12.75">
      <c r="A47" s="245" t="s">
        <v>14</v>
      </c>
      <c r="B47" s="250">
        <v>27</v>
      </c>
      <c r="C47" s="249">
        <v>25.8</v>
      </c>
      <c r="D47" s="249">
        <v>27.5</v>
      </c>
      <c r="E47" s="249">
        <v>26.2</v>
      </c>
      <c r="F47" s="249">
        <v>24.4</v>
      </c>
      <c r="G47" s="251">
        <v>26.5</v>
      </c>
      <c r="H47" s="249"/>
      <c r="I47" s="245" t="s">
        <v>14</v>
      </c>
      <c r="J47" s="250">
        <v>25.7</v>
      </c>
      <c r="K47" s="249">
        <v>22.2</v>
      </c>
      <c r="L47" s="249">
        <v>28.9</v>
      </c>
      <c r="M47" s="249">
        <v>21.6</v>
      </c>
      <c r="N47" s="249">
        <v>22.9</v>
      </c>
      <c r="O47" s="251">
        <v>26.8</v>
      </c>
      <c r="P47" s="158"/>
      <c r="Q47" s="128" t="str">
        <f t="shared" si="4"/>
        <v>LF/%</v>
      </c>
      <c r="R47" s="127">
        <f t="shared" si="5"/>
        <v>1.3000000000000007</v>
      </c>
      <c r="S47" s="127">
        <f t="shared" si="5"/>
        <v>3.6000000000000014</v>
      </c>
      <c r="T47" s="127">
        <f t="shared" si="5"/>
        <v>-1.3999999999999986</v>
      </c>
      <c r="U47" s="127">
        <f t="shared" si="5"/>
        <v>4.599999999999998</v>
      </c>
      <c r="V47" s="127">
        <f t="shared" si="5"/>
        <v>1.5</v>
      </c>
      <c r="W47" s="127">
        <f t="shared" si="5"/>
        <v>-0.3000000000000007</v>
      </c>
    </row>
    <row r="48" spans="1:23" ht="12.75">
      <c r="A48" s="245" t="s">
        <v>15</v>
      </c>
      <c r="B48" s="250">
        <v>39.1</v>
      </c>
      <c r="C48" s="249">
        <v>37.1</v>
      </c>
      <c r="D48" s="249">
        <v>40.7</v>
      </c>
      <c r="E48" s="249">
        <v>36.4</v>
      </c>
      <c r="F48" s="249">
        <v>36.8</v>
      </c>
      <c r="G48" s="251">
        <v>37.3</v>
      </c>
      <c r="H48" s="249"/>
      <c r="I48" s="245" t="s">
        <v>15</v>
      </c>
      <c r="J48" s="250">
        <v>36.7</v>
      </c>
      <c r="K48" s="249">
        <v>32.7</v>
      </c>
      <c r="L48" s="249">
        <v>42.7</v>
      </c>
      <c r="M48" s="249">
        <v>31.6</v>
      </c>
      <c r="N48" s="249">
        <v>35.3</v>
      </c>
      <c r="O48" s="251">
        <v>38.1</v>
      </c>
      <c r="P48" s="158"/>
      <c r="Q48" s="128" t="str">
        <f t="shared" si="4"/>
        <v>LFC/%</v>
      </c>
      <c r="R48" s="127">
        <f t="shared" si="5"/>
        <v>2.3999999999999986</v>
      </c>
      <c r="S48" s="127">
        <f t="shared" si="5"/>
        <v>4.399999999999999</v>
      </c>
      <c r="T48" s="127">
        <f t="shared" si="5"/>
        <v>-2</v>
      </c>
      <c r="U48" s="127">
        <f t="shared" si="5"/>
        <v>4.799999999999997</v>
      </c>
      <c r="V48" s="127">
        <f t="shared" si="5"/>
        <v>1.5</v>
      </c>
      <c r="W48" s="127">
        <f t="shared" si="5"/>
        <v>-0.8000000000000043</v>
      </c>
    </row>
    <row r="49" spans="1:23" ht="12.75">
      <c r="A49" s="252" t="s">
        <v>16</v>
      </c>
      <c r="B49" s="266">
        <v>0.3</v>
      </c>
      <c r="C49" s="254">
        <v>0.22</v>
      </c>
      <c r="D49" s="254">
        <v>0.27</v>
      </c>
      <c r="E49" s="254">
        <v>0.35</v>
      </c>
      <c r="F49" s="254">
        <v>0.15</v>
      </c>
      <c r="G49" s="255">
        <v>0.21</v>
      </c>
      <c r="H49" s="249"/>
      <c r="I49" s="252" t="s">
        <v>16</v>
      </c>
      <c r="J49" s="253">
        <v>0.37</v>
      </c>
      <c r="K49" s="254">
        <v>0.42</v>
      </c>
      <c r="L49" s="254">
        <v>0.49</v>
      </c>
      <c r="M49" s="254">
        <v>0.41</v>
      </c>
      <c r="N49" s="254">
        <v>0.26</v>
      </c>
      <c r="O49" s="255">
        <v>0.23</v>
      </c>
      <c r="P49" s="158"/>
      <c r="Q49" s="128" t="str">
        <f t="shared" si="4"/>
        <v>IACC</v>
      </c>
      <c r="R49" s="127">
        <f t="shared" si="5"/>
        <v>-0.07</v>
      </c>
      <c r="S49" s="127">
        <f t="shared" si="5"/>
        <v>-0.19999999999999998</v>
      </c>
      <c r="T49" s="127">
        <f t="shared" si="5"/>
        <v>-0.21999999999999997</v>
      </c>
      <c r="U49" s="127">
        <f t="shared" si="5"/>
        <v>-0.06</v>
      </c>
      <c r="V49" s="127">
        <f t="shared" si="5"/>
        <v>-0.11000000000000001</v>
      </c>
      <c r="W49" s="127">
        <f t="shared" si="5"/>
        <v>-0.020000000000000018</v>
      </c>
    </row>
    <row r="50" spans="5:23" ht="12.75">
      <c r="E50" s="240"/>
      <c r="F50" s="240"/>
      <c r="G50" s="240"/>
      <c r="H50" s="240"/>
      <c r="M50" s="240"/>
      <c r="N50" s="240"/>
      <c r="O50" s="240"/>
      <c r="R50" s="127"/>
      <c r="S50" s="127"/>
      <c r="T50" s="127"/>
      <c r="U50" s="127"/>
      <c r="V50" s="127"/>
      <c r="W50" s="127"/>
    </row>
    <row r="51" spans="1:18" ht="12.75">
      <c r="A51" s="137" t="s">
        <v>19</v>
      </c>
      <c r="B51" s="138" t="s">
        <v>1</v>
      </c>
      <c r="E51" s="240"/>
      <c r="F51" s="240"/>
      <c r="G51" s="240"/>
      <c r="H51" s="240"/>
      <c r="I51" s="137" t="s">
        <v>19</v>
      </c>
      <c r="J51" s="138" t="s">
        <v>1</v>
      </c>
      <c r="M51" s="240"/>
      <c r="N51" s="240"/>
      <c r="O51" s="240"/>
      <c r="Q51" s="128" t="str">
        <f>+A51</f>
        <v>1000 Hz</v>
      </c>
      <c r="R51" s="128" t="str">
        <f>+B51</f>
        <v>octave</v>
      </c>
    </row>
    <row r="52" spans="1:23" ht="12.75">
      <c r="A52" s="241"/>
      <c r="B52" s="242" t="s">
        <v>2</v>
      </c>
      <c r="C52" s="242" t="s">
        <v>3</v>
      </c>
      <c r="D52" s="243" t="s">
        <v>4</v>
      </c>
      <c r="E52" s="243" t="s">
        <v>5</v>
      </c>
      <c r="F52" s="242" t="s">
        <v>6</v>
      </c>
      <c r="G52" s="243" t="s">
        <v>7</v>
      </c>
      <c r="H52" s="244"/>
      <c r="I52" s="241"/>
      <c r="J52" s="242" t="s">
        <v>2</v>
      </c>
      <c r="K52" s="242" t="s">
        <v>3</v>
      </c>
      <c r="L52" s="243" t="s">
        <v>4</v>
      </c>
      <c r="M52" s="243" t="s">
        <v>5</v>
      </c>
      <c r="N52" s="242" t="s">
        <v>6</v>
      </c>
      <c r="O52" s="243" t="s">
        <v>7</v>
      </c>
      <c r="P52" s="157"/>
      <c r="Q52" s="128">
        <f>+A52</f>
        <v>0</v>
      </c>
      <c r="R52" s="128" t="str">
        <f>+B52</f>
        <v>S1R1</v>
      </c>
      <c r="S52" s="128" t="str">
        <f>+C52</f>
        <v>S1R2</v>
      </c>
      <c r="T52" s="128" t="str">
        <f>+D52</f>
        <v>S1R3</v>
      </c>
      <c r="U52" s="128" t="str">
        <f>+E52</f>
        <v>S2R1</v>
      </c>
      <c r="V52" s="128" t="str">
        <f>+F52</f>
        <v>S2R2</v>
      </c>
      <c r="W52" s="128" t="str">
        <f>+G52</f>
        <v>S2R3</v>
      </c>
    </row>
    <row r="53" spans="1:23" ht="12.75">
      <c r="A53" s="245" t="s">
        <v>8</v>
      </c>
      <c r="B53" s="256">
        <v>1.01</v>
      </c>
      <c r="C53" s="257">
        <v>1</v>
      </c>
      <c r="D53" s="257">
        <v>1.01</v>
      </c>
      <c r="E53" s="257">
        <v>1</v>
      </c>
      <c r="F53" s="257">
        <v>0.99</v>
      </c>
      <c r="G53" s="258">
        <v>1</v>
      </c>
      <c r="H53" s="249"/>
      <c r="I53" s="245" t="s">
        <v>8</v>
      </c>
      <c r="J53" s="256">
        <v>0.8</v>
      </c>
      <c r="K53" s="257">
        <v>0.8</v>
      </c>
      <c r="L53" s="257">
        <v>0.8</v>
      </c>
      <c r="M53" s="257">
        <v>0.8</v>
      </c>
      <c r="N53" s="257">
        <v>0.79</v>
      </c>
      <c r="O53" s="258">
        <v>0.79</v>
      </c>
      <c r="P53" s="158"/>
      <c r="Q53" s="128" t="str">
        <f aca="true" t="shared" si="6" ref="Q53:Q61">+A53</f>
        <v>T30/s</v>
      </c>
      <c r="R53" s="127">
        <f aca="true" t="shared" si="7" ref="R53:W61">+B53-J53</f>
        <v>0.20999999999999996</v>
      </c>
      <c r="S53" s="127">
        <f t="shared" si="7"/>
        <v>0.19999999999999996</v>
      </c>
      <c r="T53" s="127">
        <f t="shared" si="7"/>
        <v>0.20999999999999996</v>
      </c>
      <c r="U53" s="127">
        <f t="shared" si="7"/>
        <v>0.19999999999999996</v>
      </c>
      <c r="V53" s="127">
        <f t="shared" si="7"/>
        <v>0.19999999999999996</v>
      </c>
      <c r="W53" s="127">
        <f t="shared" si="7"/>
        <v>0.20999999999999996</v>
      </c>
    </row>
    <row r="54" spans="1:23" ht="12.75">
      <c r="A54" s="245" t="s">
        <v>9</v>
      </c>
      <c r="B54" s="259">
        <v>1.03</v>
      </c>
      <c r="C54" s="260">
        <v>1</v>
      </c>
      <c r="D54" s="260">
        <v>0.99</v>
      </c>
      <c r="E54" s="260">
        <v>0.93</v>
      </c>
      <c r="F54" s="260">
        <v>1.02</v>
      </c>
      <c r="G54" s="261">
        <v>1</v>
      </c>
      <c r="H54" s="249"/>
      <c r="I54" s="245" t="s">
        <v>9</v>
      </c>
      <c r="J54" s="259">
        <v>0.75</v>
      </c>
      <c r="K54" s="260">
        <v>0.8</v>
      </c>
      <c r="L54" s="260">
        <v>0.77</v>
      </c>
      <c r="M54" s="260">
        <v>0.79</v>
      </c>
      <c r="N54" s="260">
        <v>0.85</v>
      </c>
      <c r="O54" s="261">
        <v>0.81</v>
      </c>
      <c r="P54" s="158"/>
      <c r="Q54" s="128" t="str">
        <f t="shared" si="6"/>
        <v>EDT/s</v>
      </c>
      <c r="R54" s="127">
        <f t="shared" si="7"/>
        <v>0.28</v>
      </c>
      <c r="S54" s="127">
        <f t="shared" si="7"/>
        <v>0.19999999999999996</v>
      </c>
      <c r="T54" s="127">
        <f t="shared" si="7"/>
        <v>0.21999999999999997</v>
      </c>
      <c r="U54" s="127">
        <f t="shared" si="7"/>
        <v>0.14</v>
      </c>
      <c r="V54" s="127">
        <f t="shared" si="7"/>
        <v>0.17000000000000004</v>
      </c>
      <c r="W54" s="127">
        <f t="shared" si="7"/>
        <v>0.18999999999999995</v>
      </c>
    </row>
    <row r="55" spans="1:23" ht="12.75">
      <c r="A55" s="245" t="s">
        <v>10</v>
      </c>
      <c r="B55" s="262">
        <v>52.3</v>
      </c>
      <c r="C55" s="263">
        <v>56</v>
      </c>
      <c r="D55" s="263">
        <v>50</v>
      </c>
      <c r="E55" s="263">
        <v>58.2</v>
      </c>
      <c r="F55" s="263">
        <v>52.7</v>
      </c>
      <c r="G55" s="264">
        <v>59</v>
      </c>
      <c r="H55" s="249"/>
      <c r="I55" s="245" t="s">
        <v>10</v>
      </c>
      <c r="J55" s="250">
        <v>59.4</v>
      </c>
      <c r="K55" s="249">
        <v>63.7</v>
      </c>
      <c r="L55" s="249">
        <v>62.1</v>
      </c>
      <c r="M55" s="249">
        <v>64.7</v>
      </c>
      <c r="N55" s="249">
        <v>60</v>
      </c>
      <c r="O55" s="251">
        <v>65.5</v>
      </c>
      <c r="P55" s="158"/>
      <c r="Q55" s="128" t="str">
        <f t="shared" si="6"/>
        <v>D/%</v>
      </c>
      <c r="R55" s="127">
        <f t="shared" si="7"/>
        <v>-7.100000000000001</v>
      </c>
      <c r="S55" s="127">
        <f t="shared" si="7"/>
        <v>-7.700000000000003</v>
      </c>
      <c r="T55" s="127">
        <f t="shared" si="7"/>
        <v>-12.100000000000001</v>
      </c>
      <c r="U55" s="127">
        <f t="shared" si="7"/>
        <v>-6.5</v>
      </c>
      <c r="V55" s="127">
        <f t="shared" si="7"/>
        <v>-7.299999999999997</v>
      </c>
      <c r="W55" s="127">
        <f t="shared" si="7"/>
        <v>-6.5</v>
      </c>
    </row>
    <row r="56" spans="1:23" ht="12.75">
      <c r="A56" s="245" t="s">
        <v>11</v>
      </c>
      <c r="B56" s="262">
        <v>3.2</v>
      </c>
      <c r="C56" s="263">
        <v>4</v>
      </c>
      <c r="D56" s="263">
        <v>3.2</v>
      </c>
      <c r="E56" s="263">
        <v>4.8</v>
      </c>
      <c r="F56" s="263">
        <v>3.1</v>
      </c>
      <c r="G56" s="264">
        <v>4.2</v>
      </c>
      <c r="H56" s="249"/>
      <c r="I56" s="245" t="s">
        <v>11</v>
      </c>
      <c r="J56" s="250">
        <v>5.6</v>
      </c>
      <c r="K56" s="249">
        <v>5.9</v>
      </c>
      <c r="L56" s="249">
        <v>5.3</v>
      </c>
      <c r="M56" s="249">
        <v>6.2</v>
      </c>
      <c r="N56" s="249">
        <v>4.8</v>
      </c>
      <c r="O56" s="264">
        <v>6</v>
      </c>
      <c r="P56" s="158"/>
      <c r="Q56" s="128" t="str">
        <f t="shared" si="6"/>
        <v>C/dB</v>
      </c>
      <c r="R56" s="127">
        <f t="shared" si="7"/>
        <v>-2.3999999999999995</v>
      </c>
      <c r="S56" s="127">
        <f t="shared" si="7"/>
        <v>-1.9000000000000004</v>
      </c>
      <c r="T56" s="127">
        <f t="shared" si="7"/>
        <v>-2.0999999999999996</v>
      </c>
      <c r="U56" s="127">
        <f t="shared" si="7"/>
        <v>-1.4000000000000004</v>
      </c>
      <c r="V56" s="127">
        <f t="shared" si="7"/>
        <v>-1.6999999999999997</v>
      </c>
      <c r="W56" s="127">
        <f t="shared" si="7"/>
        <v>-1.7999999999999998</v>
      </c>
    </row>
    <row r="57" spans="1:23" ht="13.5" customHeight="1">
      <c r="A57" s="245" t="s">
        <v>12</v>
      </c>
      <c r="B57" s="262">
        <v>69.1</v>
      </c>
      <c r="C57" s="263">
        <v>63.1</v>
      </c>
      <c r="D57" s="263">
        <v>71</v>
      </c>
      <c r="E57" s="263">
        <v>58.5</v>
      </c>
      <c r="F57" s="263">
        <v>69.4</v>
      </c>
      <c r="G57" s="264">
        <v>59.7</v>
      </c>
      <c r="H57" s="249"/>
      <c r="I57" s="245" t="s">
        <v>12</v>
      </c>
      <c r="J57" s="250">
        <v>53.2</v>
      </c>
      <c r="K57" s="249">
        <v>48.1</v>
      </c>
      <c r="L57" s="249">
        <v>53.9</v>
      </c>
      <c r="M57" s="249">
        <v>46.3</v>
      </c>
      <c r="N57" s="249">
        <v>54.5</v>
      </c>
      <c r="O57" s="251">
        <v>46.3</v>
      </c>
      <c r="P57" s="158"/>
      <c r="Q57" s="128" t="str">
        <f t="shared" si="6"/>
        <v>TS/ms</v>
      </c>
      <c r="R57" s="127">
        <f t="shared" si="7"/>
        <v>15.899999999999991</v>
      </c>
      <c r="S57" s="127">
        <f t="shared" si="7"/>
        <v>15</v>
      </c>
      <c r="T57" s="127">
        <f t="shared" si="7"/>
        <v>17.1</v>
      </c>
      <c r="U57" s="127">
        <f t="shared" si="7"/>
        <v>12.200000000000003</v>
      </c>
      <c r="V57" s="127">
        <f t="shared" si="7"/>
        <v>14.900000000000006</v>
      </c>
      <c r="W57" s="127">
        <f t="shared" si="7"/>
        <v>13.400000000000006</v>
      </c>
    </row>
    <row r="58" spans="1:23" ht="12" customHeight="1">
      <c r="A58" s="245" t="s">
        <v>13</v>
      </c>
      <c r="B58" s="262">
        <v>18.6</v>
      </c>
      <c r="C58" s="263">
        <v>19.7</v>
      </c>
      <c r="D58" s="263">
        <v>18.7</v>
      </c>
      <c r="E58" s="263">
        <v>19.7</v>
      </c>
      <c r="F58" s="263">
        <v>18.8</v>
      </c>
      <c r="G58" s="264">
        <v>19.6</v>
      </c>
      <c r="H58" s="249"/>
      <c r="I58" s="245" t="s">
        <v>13</v>
      </c>
      <c r="J58" s="250">
        <v>18.1</v>
      </c>
      <c r="K58" s="249">
        <v>18.9</v>
      </c>
      <c r="L58" s="263">
        <v>18</v>
      </c>
      <c r="M58" s="249">
        <v>18.6</v>
      </c>
      <c r="N58" s="249">
        <v>17.7</v>
      </c>
      <c r="O58" s="251">
        <v>18.9</v>
      </c>
      <c r="P58" s="158"/>
      <c r="Q58" s="128" t="str">
        <f t="shared" si="6"/>
        <v>G/dB</v>
      </c>
      <c r="R58" s="127">
        <f t="shared" si="7"/>
        <v>0.5</v>
      </c>
      <c r="S58" s="127">
        <f t="shared" si="7"/>
        <v>0.8000000000000007</v>
      </c>
      <c r="T58" s="127">
        <f t="shared" si="7"/>
        <v>0.6999999999999993</v>
      </c>
      <c r="U58" s="127">
        <f t="shared" si="7"/>
        <v>1.0999999999999979</v>
      </c>
      <c r="V58" s="127">
        <f t="shared" si="7"/>
        <v>1.1000000000000014</v>
      </c>
      <c r="W58" s="127">
        <f t="shared" si="7"/>
        <v>0.7000000000000028</v>
      </c>
    </row>
    <row r="59" spans="1:23" ht="12.75">
      <c r="A59" s="245" t="s">
        <v>14</v>
      </c>
      <c r="B59" s="262">
        <v>26.6</v>
      </c>
      <c r="C59" s="263">
        <v>22.3</v>
      </c>
      <c r="D59" s="263">
        <v>26.7</v>
      </c>
      <c r="E59" s="263">
        <v>25.2</v>
      </c>
      <c r="F59" s="263">
        <v>23.5</v>
      </c>
      <c r="G59" s="264">
        <v>27</v>
      </c>
      <c r="H59" s="249"/>
      <c r="I59" s="245" t="s">
        <v>14</v>
      </c>
      <c r="J59" s="250">
        <v>22.1</v>
      </c>
      <c r="K59" s="249">
        <v>23.7</v>
      </c>
      <c r="L59" s="263">
        <v>28</v>
      </c>
      <c r="M59" s="249">
        <v>22.2</v>
      </c>
      <c r="N59" s="249">
        <v>22.3</v>
      </c>
      <c r="O59" s="251">
        <v>25.5</v>
      </c>
      <c r="P59" s="158"/>
      <c r="Q59" s="128" t="str">
        <f t="shared" si="6"/>
        <v>LF/%</v>
      </c>
      <c r="R59" s="127">
        <f t="shared" si="7"/>
        <v>4.5</v>
      </c>
      <c r="S59" s="127">
        <f t="shared" si="7"/>
        <v>-1.3999999999999986</v>
      </c>
      <c r="T59" s="127">
        <f t="shared" si="7"/>
        <v>-1.3000000000000007</v>
      </c>
      <c r="U59" s="127">
        <f t="shared" si="7"/>
        <v>3</v>
      </c>
      <c r="V59" s="127">
        <f t="shared" si="7"/>
        <v>1.1999999999999993</v>
      </c>
      <c r="W59" s="127">
        <f t="shared" si="7"/>
        <v>1.5</v>
      </c>
    </row>
    <row r="60" spans="1:23" ht="12.75">
      <c r="A60" s="245" t="s">
        <v>15</v>
      </c>
      <c r="B60" s="262">
        <v>37.4</v>
      </c>
      <c r="C60" s="263">
        <v>33.2</v>
      </c>
      <c r="D60" s="263">
        <v>40.1</v>
      </c>
      <c r="E60" s="263">
        <v>35.8</v>
      </c>
      <c r="F60" s="263">
        <v>35.1</v>
      </c>
      <c r="G60" s="264">
        <v>37.5</v>
      </c>
      <c r="H60" s="249"/>
      <c r="I60" s="245" t="s">
        <v>15</v>
      </c>
      <c r="J60" s="250">
        <v>33.4</v>
      </c>
      <c r="K60" s="249">
        <v>33.6</v>
      </c>
      <c r="L60" s="249">
        <v>41.1</v>
      </c>
      <c r="M60" s="249">
        <v>31.7</v>
      </c>
      <c r="N60" s="263">
        <v>34</v>
      </c>
      <c r="O60" s="251">
        <v>35.9</v>
      </c>
      <c r="P60" s="158"/>
      <c r="Q60" s="128" t="str">
        <f t="shared" si="6"/>
        <v>LFC/%</v>
      </c>
      <c r="R60" s="127">
        <f t="shared" si="7"/>
        <v>4</v>
      </c>
      <c r="S60" s="127">
        <f t="shared" si="7"/>
        <v>-0.3999999999999986</v>
      </c>
      <c r="T60" s="127">
        <f t="shared" si="7"/>
        <v>-1</v>
      </c>
      <c r="U60" s="127">
        <f t="shared" si="7"/>
        <v>4.099999999999998</v>
      </c>
      <c r="V60" s="127">
        <f t="shared" si="7"/>
        <v>1.1000000000000014</v>
      </c>
      <c r="W60" s="127">
        <f t="shared" si="7"/>
        <v>1.6000000000000014</v>
      </c>
    </row>
    <row r="61" spans="1:23" ht="12.75">
      <c r="A61" s="252" t="s">
        <v>16</v>
      </c>
      <c r="B61" s="253">
        <v>0.19</v>
      </c>
      <c r="C61" s="254">
        <v>0.28</v>
      </c>
      <c r="D61" s="254">
        <v>0.07</v>
      </c>
      <c r="E61" s="254">
        <v>0.24</v>
      </c>
      <c r="F61" s="254">
        <v>0.29</v>
      </c>
      <c r="G61" s="255">
        <v>0.16</v>
      </c>
      <c r="H61" s="249"/>
      <c r="I61" s="252" t="s">
        <v>16</v>
      </c>
      <c r="J61" s="253">
        <v>0.28</v>
      </c>
      <c r="K61" s="254">
        <v>0.33</v>
      </c>
      <c r="L61" s="254">
        <v>0.14</v>
      </c>
      <c r="M61" s="254">
        <v>0.21</v>
      </c>
      <c r="N61" s="254">
        <v>0.26</v>
      </c>
      <c r="O61" s="255">
        <v>0.16</v>
      </c>
      <c r="P61" s="158"/>
      <c r="Q61" s="128" t="str">
        <f t="shared" si="6"/>
        <v>IACC</v>
      </c>
      <c r="R61" s="127">
        <f t="shared" si="7"/>
        <v>-0.09000000000000002</v>
      </c>
      <c r="S61" s="127">
        <f t="shared" si="7"/>
        <v>-0.04999999999999999</v>
      </c>
      <c r="T61" s="127">
        <f t="shared" si="7"/>
        <v>-0.07</v>
      </c>
      <c r="U61" s="127">
        <f t="shared" si="7"/>
        <v>0.03</v>
      </c>
      <c r="V61" s="127">
        <f t="shared" si="7"/>
        <v>0.02999999999999997</v>
      </c>
      <c r="W61" s="127">
        <f t="shared" si="7"/>
        <v>0</v>
      </c>
    </row>
    <row r="62" spans="6:15" ht="12.75">
      <c r="F62" s="240"/>
      <c r="G62" s="240"/>
      <c r="H62" s="240"/>
      <c r="M62" s="240"/>
      <c r="N62" s="240"/>
      <c r="O62" s="240"/>
    </row>
    <row r="63" spans="1:18" ht="12.75">
      <c r="A63" s="137" t="s">
        <v>20</v>
      </c>
      <c r="B63" s="138" t="s">
        <v>1</v>
      </c>
      <c r="E63" s="240"/>
      <c r="F63" s="240"/>
      <c r="G63" s="240"/>
      <c r="H63" s="240"/>
      <c r="I63" s="137" t="s">
        <v>20</v>
      </c>
      <c r="J63" s="138" t="s">
        <v>1</v>
      </c>
      <c r="M63" s="240"/>
      <c r="N63" s="240"/>
      <c r="O63" s="240"/>
      <c r="Q63" s="128" t="str">
        <f>+A63</f>
        <v>2000 Hz</v>
      </c>
      <c r="R63" s="128" t="str">
        <f>+B63</f>
        <v>octave</v>
      </c>
    </row>
    <row r="64" spans="1:23" ht="12.75">
      <c r="A64" s="241"/>
      <c r="B64" s="242" t="s">
        <v>2</v>
      </c>
      <c r="C64" s="242" t="s">
        <v>3</v>
      </c>
      <c r="D64" s="243" t="s">
        <v>4</v>
      </c>
      <c r="E64" s="243" t="s">
        <v>5</v>
      </c>
      <c r="F64" s="242" t="s">
        <v>6</v>
      </c>
      <c r="G64" s="243" t="s">
        <v>7</v>
      </c>
      <c r="H64" s="244"/>
      <c r="I64" s="241"/>
      <c r="J64" s="242" t="s">
        <v>2</v>
      </c>
      <c r="K64" s="242" t="s">
        <v>3</v>
      </c>
      <c r="L64" s="243" t="s">
        <v>4</v>
      </c>
      <c r="M64" s="243" t="s">
        <v>5</v>
      </c>
      <c r="N64" s="242" t="s">
        <v>6</v>
      </c>
      <c r="O64" s="243" t="s">
        <v>7</v>
      </c>
      <c r="P64" s="157"/>
      <c r="Q64" s="128">
        <f>+A64</f>
        <v>0</v>
      </c>
      <c r="R64" s="128" t="str">
        <f>+B64</f>
        <v>S1R1</v>
      </c>
      <c r="S64" s="128" t="str">
        <f>+C64</f>
        <v>S1R2</v>
      </c>
      <c r="T64" s="128" t="str">
        <f>+D64</f>
        <v>S1R3</v>
      </c>
      <c r="U64" s="128" t="str">
        <f>+E64</f>
        <v>S2R1</v>
      </c>
      <c r="V64" s="128" t="str">
        <f>+F64</f>
        <v>S2R2</v>
      </c>
      <c r="W64" s="128" t="str">
        <f>+G64</f>
        <v>S2R3</v>
      </c>
    </row>
    <row r="65" spans="1:23" ht="12.75">
      <c r="A65" s="245" t="s">
        <v>8</v>
      </c>
      <c r="B65" s="246">
        <v>1.11</v>
      </c>
      <c r="C65" s="247">
        <v>1.11</v>
      </c>
      <c r="D65" s="247">
        <v>1.11</v>
      </c>
      <c r="E65" s="247">
        <v>1.11</v>
      </c>
      <c r="F65" s="247">
        <v>1.11</v>
      </c>
      <c r="G65" s="248">
        <v>1.11</v>
      </c>
      <c r="H65" s="249"/>
      <c r="I65" s="245" t="s">
        <v>8</v>
      </c>
      <c r="J65" s="246">
        <v>0.79</v>
      </c>
      <c r="K65" s="247">
        <v>0.79</v>
      </c>
      <c r="L65" s="247">
        <v>0.78</v>
      </c>
      <c r="M65" s="247">
        <v>0.78</v>
      </c>
      <c r="N65" s="247">
        <v>0.78</v>
      </c>
      <c r="O65" s="248">
        <v>0.79</v>
      </c>
      <c r="P65" s="158"/>
      <c r="Q65" s="128" t="str">
        <f aca="true" t="shared" si="8" ref="Q65:Q73">+A65</f>
        <v>T30/s</v>
      </c>
      <c r="R65" s="127">
        <f aca="true" t="shared" si="9" ref="R65:W73">+B65-J65</f>
        <v>0.32000000000000006</v>
      </c>
      <c r="S65" s="127">
        <f t="shared" si="9"/>
        <v>0.32000000000000006</v>
      </c>
      <c r="T65" s="127">
        <f t="shared" si="9"/>
        <v>0.33000000000000007</v>
      </c>
      <c r="U65" s="127">
        <f t="shared" si="9"/>
        <v>0.33000000000000007</v>
      </c>
      <c r="V65" s="127">
        <f t="shared" si="9"/>
        <v>0.33000000000000007</v>
      </c>
      <c r="W65" s="127">
        <f t="shared" si="9"/>
        <v>0.32000000000000006</v>
      </c>
    </row>
    <row r="66" spans="1:23" ht="12.75">
      <c r="A66" s="245" t="s">
        <v>9</v>
      </c>
      <c r="B66" s="250">
        <v>1.11</v>
      </c>
      <c r="C66" s="260">
        <v>1.1</v>
      </c>
      <c r="D66" s="249">
        <v>1.13</v>
      </c>
      <c r="E66" s="249">
        <v>1.13</v>
      </c>
      <c r="F66" s="249">
        <v>1.12</v>
      </c>
      <c r="G66" s="251">
        <v>1.15</v>
      </c>
      <c r="H66" s="249"/>
      <c r="I66" s="245" t="s">
        <v>9</v>
      </c>
      <c r="J66" s="250">
        <v>0.81</v>
      </c>
      <c r="K66" s="249">
        <v>0.76</v>
      </c>
      <c r="L66" s="249">
        <v>0.82</v>
      </c>
      <c r="M66" s="249">
        <v>0.77</v>
      </c>
      <c r="N66" s="260">
        <v>0.8</v>
      </c>
      <c r="O66" s="251">
        <v>0.81</v>
      </c>
      <c r="P66" s="158"/>
      <c r="Q66" s="128" t="str">
        <f t="shared" si="8"/>
        <v>EDT/s</v>
      </c>
      <c r="R66" s="127">
        <f t="shared" si="9"/>
        <v>0.30000000000000004</v>
      </c>
      <c r="S66" s="127">
        <f t="shared" si="9"/>
        <v>0.3400000000000001</v>
      </c>
      <c r="T66" s="127">
        <f t="shared" si="9"/>
        <v>0.30999999999999994</v>
      </c>
      <c r="U66" s="127">
        <f t="shared" si="9"/>
        <v>0.3599999999999999</v>
      </c>
      <c r="V66" s="127">
        <f t="shared" si="9"/>
        <v>0.32000000000000006</v>
      </c>
      <c r="W66" s="127">
        <f t="shared" si="9"/>
        <v>0.33999999999999986</v>
      </c>
    </row>
    <row r="67" spans="1:23" ht="12.75">
      <c r="A67" s="245" t="s">
        <v>10</v>
      </c>
      <c r="B67" s="250">
        <v>48.8</v>
      </c>
      <c r="C67" s="249">
        <v>54.7</v>
      </c>
      <c r="D67" s="249">
        <v>48.9</v>
      </c>
      <c r="E67" s="249">
        <v>54.4</v>
      </c>
      <c r="F67" s="249">
        <v>49.7</v>
      </c>
      <c r="G67" s="251">
        <v>55.2</v>
      </c>
      <c r="H67" s="249"/>
      <c r="I67" s="245" t="s">
        <v>10</v>
      </c>
      <c r="J67" s="250">
        <v>60.9</v>
      </c>
      <c r="K67" s="249">
        <v>66.3</v>
      </c>
      <c r="L67" s="249">
        <v>60.5</v>
      </c>
      <c r="M67" s="249">
        <v>65.9</v>
      </c>
      <c r="N67" s="249">
        <v>61.8</v>
      </c>
      <c r="O67" s="251">
        <v>64</v>
      </c>
      <c r="P67" s="158"/>
      <c r="Q67" s="128" t="str">
        <f t="shared" si="8"/>
        <v>D/%</v>
      </c>
      <c r="R67" s="127">
        <f t="shared" si="9"/>
        <v>-12.100000000000001</v>
      </c>
      <c r="S67" s="127">
        <f t="shared" si="9"/>
        <v>-11.599999999999994</v>
      </c>
      <c r="T67" s="127">
        <f t="shared" si="9"/>
        <v>-11.600000000000001</v>
      </c>
      <c r="U67" s="127">
        <f t="shared" si="9"/>
        <v>-11.500000000000007</v>
      </c>
      <c r="V67" s="127">
        <f t="shared" si="9"/>
        <v>-12.099999999999994</v>
      </c>
      <c r="W67" s="127">
        <f t="shared" si="9"/>
        <v>-8.799999999999997</v>
      </c>
    </row>
    <row r="68" spans="1:23" ht="12.75">
      <c r="A68" s="245" t="s">
        <v>11</v>
      </c>
      <c r="B68" s="250">
        <v>2.7</v>
      </c>
      <c r="C68" s="249">
        <v>3.6</v>
      </c>
      <c r="D68" s="249">
        <v>2.2</v>
      </c>
      <c r="E68" s="249">
        <v>3.5</v>
      </c>
      <c r="F68" s="249">
        <v>2.7</v>
      </c>
      <c r="G68" s="251">
        <v>3.4</v>
      </c>
      <c r="H68" s="249"/>
      <c r="I68" s="245" t="s">
        <v>11</v>
      </c>
      <c r="J68" s="250">
        <v>5.2</v>
      </c>
      <c r="K68" s="249">
        <v>6.1</v>
      </c>
      <c r="L68" s="249">
        <v>4.8</v>
      </c>
      <c r="M68" s="249">
        <v>6.2</v>
      </c>
      <c r="N68" s="249">
        <v>5.1</v>
      </c>
      <c r="O68" s="251">
        <v>5.9</v>
      </c>
      <c r="P68" s="158"/>
      <c r="Q68" s="128" t="str">
        <f t="shared" si="8"/>
        <v>C/dB</v>
      </c>
      <c r="R68" s="127">
        <f t="shared" si="9"/>
        <v>-2.5</v>
      </c>
      <c r="S68" s="127">
        <f t="shared" si="9"/>
        <v>-2.4999999999999996</v>
      </c>
      <c r="T68" s="127">
        <f t="shared" si="9"/>
        <v>-2.5999999999999996</v>
      </c>
      <c r="U68" s="127">
        <f t="shared" si="9"/>
        <v>-2.7</v>
      </c>
      <c r="V68" s="127">
        <f t="shared" si="9"/>
        <v>-2.3999999999999995</v>
      </c>
      <c r="W68" s="127">
        <f t="shared" si="9"/>
        <v>-2.5000000000000004</v>
      </c>
    </row>
    <row r="69" spans="1:23" ht="12.75">
      <c r="A69" s="245" t="s">
        <v>12</v>
      </c>
      <c r="B69" s="250">
        <v>76.3</v>
      </c>
      <c r="C69" s="249">
        <v>68.3</v>
      </c>
      <c r="D69" s="249">
        <v>79</v>
      </c>
      <c r="E69" s="249">
        <v>67.2</v>
      </c>
      <c r="F69" s="249">
        <v>76.6</v>
      </c>
      <c r="G69" s="251">
        <v>68.5</v>
      </c>
      <c r="H69" s="249"/>
      <c r="I69" s="245" t="s">
        <v>12</v>
      </c>
      <c r="J69" s="250">
        <v>53.1</v>
      </c>
      <c r="K69" s="249">
        <v>47.1</v>
      </c>
      <c r="L69" s="249">
        <v>55.5</v>
      </c>
      <c r="M69" s="249">
        <v>46.1</v>
      </c>
      <c r="N69" s="249">
        <v>53.2</v>
      </c>
      <c r="O69" s="251">
        <v>46.9</v>
      </c>
      <c r="P69" s="158"/>
      <c r="Q69" s="128" t="str">
        <f t="shared" si="8"/>
        <v>TS/ms</v>
      </c>
      <c r="R69" s="127">
        <f t="shared" si="9"/>
        <v>23.199999999999996</v>
      </c>
      <c r="S69" s="127">
        <f t="shared" si="9"/>
        <v>21.199999999999996</v>
      </c>
      <c r="T69" s="127">
        <f t="shared" si="9"/>
        <v>23.5</v>
      </c>
      <c r="U69" s="127">
        <f t="shared" si="9"/>
        <v>21.1</v>
      </c>
      <c r="V69" s="127">
        <f t="shared" si="9"/>
        <v>23.39999999999999</v>
      </c>
      <c r="W69" s="127">
        <f t="shared" si="9"/>
        <v>21.6</v>
      </c>
    </row>
    <row r="70" spans="1:23" ht="12.75">
      <c r="A70" s="245" t="s">
        <v>13</v>
      </c>
      <c r="B70" s="250">
        <v>19.3</v>
      </c>
      <c r="C70" s="249">
        <v>20.3</v>
      </c>
      <c r="D70" s="249">
        <v>19.1</v>
      </c>
      <c r="E70" s="249">
        <v>19.8</v>
      </c>
      <c r="F70" s="249">
        <v>19.6</v>
      </c>
      <c r="G70" s="251">
        <v>20</v>
      </c>
      <c r="H70" s="249"/>
      <c r="I70" s="245" t="s">
        <v>13</v>
      </c>
      <c r="J70" s="250">
        <v>17.5</v>
      </c>
      <c r="K70" s="249">
        <v>19.1</v>
      </c>
      <c r="L70" s="249">
        <v>17.6</v>
      </c>
      <c r="M70" s="249">
        <v>18.7</v>
      </c>
      <c r="N70" s="249">
        <v>17.9</v>
      </c>
      <c r="O70" s="251">
        <v>18.7</v>
      </c>
      <c r="P70" s="158"/>
      <c r="Q70" s="128" t="str">
        <f t="shared" si="8"/>
        <v>G/dB</v>
      </c>
      <c r="R70" s="127">
        <f t="shared" si="9"/>
        <v>1.8000000000000007</v>
      </c>
      <c r="S70" s="127">
        <f t="shared" si="9"/>
        <v>1.1999999999999993</v>
      </c>
      <c r="T70" s="127">
        <f t="shared" si="9"/>
        <v>1.5</v>
      </c>
      <c r="U70" s="127">
        <f t="shared" si="9"/>
        <v>1.1000000000000014</v>
      </c>
      <c r="V70" s="127">
        <f t="shared" si="9"/>
        <v>1.7000000000000028</v>
      </c>
      <c r="W70" s="127">
        <f t="shared" si="9"/>
        <v>1.3000000000000007</v>
      </c>
    </row>
    <row r="71" spans="1:23" ht="12.75">
      <c r="A71" s="245" t="s">
        <v>14</v>
      </c>
      <c r="B71" s="250">
        <v>26.5</v>
      </c>
      <c r="C71" s="249">
        <v>25.8</v>
      </c>
      <c r="D71" s="249">
        <v>24.8</v>
      </c>
      <c r="E71" s="249">
        <v>24.8</v>
      </c>
      <c r="F71" s="249">
        <v>25.5</v>
      </c>
      <c r="G71" s="251">
        <v>26.6</v>
      </c>
      <c r="H71" s="249"/>
      <c r="I71" s="245" t="s">
        <v>14</v>
      </c>
      <c r="J71" s="250">
        <v>23.9</v>
      </c>
      <c r="K71" s="249">
        <v>23.1</v>
      </c>
      <c r="L71" s="249">
        <v>27.9</v>
      </c>
      <c r="M71" s="249">
        <v>20.3</v>
      </c>
      <c r="N71" s="249">
        <v>22.2</v>
      </c>
      <c r="O71" s="251">
        <v>24.3</v>
      </c>
      <c r="P71" s="158"/>
      <c r="Q71" s="128" t="str">
        <f t="shared" si="8"/>
        <v>LF/%</v>
      </c>
      <c r="R71" s="127">
        <f t="shared" si="9"/>
        <v>2.6000000000000014</v>
      </c>
      <c r="S71" s="127">
        <f t="shared" si="9"/>
        <v>2.6999999999999993</v>
      </c>
      <c r="T71" s="127">
        <f t="shared" si="9"/>
        <v>-3.099999999999998</v>
      </c>
      <c r="U71" s="127">
        <f t="shared" si="9"/>
        <v>4.5</v>
      </c>
      <c r="V71" s="127">
        <f t="shared" si="9"/>
        <v>3.3000000000000007</v>
      </c>
      <c r="W71" s="127">
        <f t="shared" si="9"/>
        <v>2.3000000000000007</v>
      </c>
    </row>
    <row r="72" spans="1:23" ht="12.75">
      <c r="A72" s="245" t="s">
        <v>15</v>
      </c>
      <c r="B72" s="250">
        <v>38.1</v>
      </c>
      <c r="C72" s="249">
        <v>37.5</v>
      </c>
      <c r="D72" s="249">
        <v>38.5</v>
      </c>
      <c r="E72" s="249">
        <v>35.3</v>
      </c>
      <c r="F72" s="249">
        <v>38.6</v>
      </c>
      <c r="G72" s="251">
        <v>37.2</v>
      </c>
      <c r="H72" s="249"/>
      <c r="I72" s="245" t="s">
        <v>15</v>
      </c>
      <c r="J72" s="253">
        <v>34.9</v>
      </c>
      <c r="K72" s="254">
        <v>33.7</v>
      </c>
      <c r="L72" s="254">
        <v>40.9</v>
      </c>
      <c r="M72" s="254">
        <v>29.9</v>
      </c>
      <c r="N72" s="254">
        <v>34.1</v>
      </c>
      <c r="O72" s="255">
        <v>34.3</v>
      </c>
      <c r="P72" s="158"/>
      <c r="Q72" s="128" t="str">
        <f t="shared" si="8"/>
        <v>LFC/%</v>
      </c>
      <c r="R72" s="127">
        <f t="shared" si="9"/>
        <v>3.200000000000003</v>
      </c>
      <c r="S72" s="127">
        <f t="shared" si="9"/>
        <v>3.799999999999997</v>
      </c>
      <c r="T72" s="127">
        <f t="shared" si="9"/>
        <v>-2.3999999999999986</v>
      </c>
      <c r="U72" s="127">
        <f t="shared" si="9"/>
        <v>5.399999999999999</v>
      </c>
      <c r="V72" s="127">
        <f t="shared" si="9"/>
        <v>4.5</v>
      </c>
      <c r="W72" s="127">
        <f t="shared" si="9"/>
        <v>2.9000000000000057</v>
      </c>
    </row>
    <row r="73" spans="1:23" ht="12.75">
      <c r="A73" s="252" t="s">
        <v>16</v>
      </c>
      <c r="B73" s="253">
        <v>0.17</v>
      </c>
      <c r="C73" s="254">
        <v>0.23</v>
      </c>
      <c r="D73" s="254">
        <v>0.17</v>
      </c>
      <c r="E73" s="254">
        <v>0.33</v>
      </c>
      <c r="F73" s="254">
        <v>0.18</v>
      </c>
      <c r="G73" s="255">
        <v>0.24</v>
      </c>
      <c r="H73" s="249"/>
      <c r="I73" s="252" t="s">
        <v>16</v>
      </c>
      <c r="J73" s="267">
        <v>0.2</v>
      </c>
      <c r="K73" s="267">
        <v>0.27</v>
      </c>
      <c r="L73" s="267">
        <v>0.3</v>
      </c>
      <c r="M73" s="267">
        <v>0.3</v>
      </c>
      <c r="N73" s="268">
        <v>0.24</v>
      </c>
      <c r="O73" s="268">
        <v>0.44</v>
      </c>
      <c r="P73" s="158"/>
      <c r="Q73" s="128" t="str">
        <f t="shared" si="8"/>
        <v>IACC</v>
      </c>
      <c r="R73" s="127">
        <f t="shared" si="9"/>
        <v>-0.03</v>
      </c>
      <c r="S73" s="127">
        <f t="shared" si="9"/>
        <v>-0.04000000000000001</v>
      </c>
      <c r="T73" s="127">
        <f t="shared" si="9"/>
        <v>-0.12999999999999998</v>
      </c>
      <c r="U73" s="127">
        <f t="shared" si="9"/>
        <v>0.030000000000000027</v>
      </c>
      <c r="V73" s="127">
        <f t="shared" si="9"/>
        <v>-0.06</v>
      </c>
      <c r="W73" s="127">
        <f t="shared" si="9"/>
        <v>-0.2</v>
      </c>
    </row>
    <row r="74" spans="6:15" ht="12.75">
      <c r="F74" s="240"/>
      <c r="G74" s="240"/>
      <c r="H74" s="240"/>
      <c r="M74" s="240"/>
      <c r="N74" s="240"/>
      <c r="O74" s="240"/>
    </row>
    <row r="75" spans="1:18" ht="12.75">
      <c r="A75" s="137" t="s">
        <v>21</v>
      </c>
      <c r="B75" s="138" t="s">
        <v>1</v>
      </c>
      <c r="E75" s="240"/>
      <c r="F75" s="240"/>
      <c r="G75" s="240"/>
      <c r="H75" s="240"/>
      <c r="I75" s="137" t="s">
        <v>21</v>
      </c>
      <c r="J75" s="138" t="s">
        <v>1</v>
      </c>
      <c r="M75" s="240"/>
      <c r="N75" s="240"/>
      <c r="O75" s="240"/>
      <c r="Q75" s="128" t="str">
        <f>+A75</f>
        <v>4000 Hz</v>
      </c>
      <c r="R75" s="128" t="str">
        <f>+B75</f>
        <v>octave</v>
      </c>
    </row>
    <row r="76" spans="1:23" ht="12.75">
      <c r="A76" s="241"/>
      <c r="B76" s="242" t="s">
        <v>2</v>
      </c>
      <c r="C76" s="242" t="s">
        <v>3</v>
      </c>
      <c r="D76" s="243" t="s">
        <v>4</v>
      </c>
      <c r="E76" s="243" t="s">
        <v>5</v>
      </c>
      <c r="F76" s="242" t="s">
        <v>6</v>
      </c>
      <c r="G76" s="243" t="s">
        <v>7</v>
      </c>
      <c r="H76" s="244"/>
      <c r="I76" s="241"/>
      <c r="J76" s="242" t="s">
        <v>2</v>
      </c>
      <c r="K76" s="242" t="s">
        <v>3</v>
      </c>
      <c r="L76" s="243" t="s">
        <v>4</v>
      </c>
      <c r="M76" s="243" t="s">
        <v>5</v>
      </c>
      <c r="N76" s="242" t="s">
        <v>6</v>
      </c>
      <c r="O76" s="243" t="s">
        <v>7</v>
      </c>
      <c r="P76" s="157"/>
      <c r="Q76" s="128">
        <f>+A76</f>
        <v>0</v>
      </c>
      <c r="R76" s="128" t="str">
        <f>+B76</f>
        <v>S1R1</v>
      </c>
      <c r="S76" s="128" t="str">
        <f>+C76</f>
        <v>S1R2</v>
      </c>
      <c r="T76" s="128" t="str">
        <f>+D76</f>
        <v>S1R3</v>
      </c>
      <c r="U76" s="128" t="str">
        <f>+E76</f>
        <v>S2R1</v>
      </c>
      <c r="V76" s="128" t="str">
        <f>+F76</f>
        <v>S2R2</v>
      </c>
      <c r="W76" s="128" t="str">
        <f>+G76</f>
        <v>S2R3</v>
      </c>
    </row>
    <row r="77" spans="1:23" ht="12.75">
      <c r="A77" s="245" t="s">
        <v>8</v>
      </c>
      <c r="B77" s="269">
        <v>0.94</v>
      </c>
      <c r="C77" s="270">
        <v>0.95</v>
      </c>
      <c r="D77" s="270">
        <v>0.95</v>
      </c>
      <c r="E77" s="270">
        <v>0.95</v>
      </c>
      <c r="F77" s="270">
        <v>0.96</v>
      </c>
      <c r="G77" s="271">
        <v>0.96</v>
      </c>
      <c r="H77" s="249"/>
      <c r="I77" s="245" t="s">
        <v>8</v>
      </c>
      <c r="J77" s="246">
        <v>0.66</v>
      </c>
      <c r="K77" s="247">
        <v>0.67</v>
      </c>
      <c r="L77" s="247">
        <v>0.66</v>
      </c>
      <c r="M77" s="247">
        <v>0.66</v>
      </c>
      <c r="N77" s="247">
        <v>0.66</v>
      </c>
      <c r="O77" s="248">
        <v>0.66</v>
      </c>
      <c r="P77" s="158"/>
      <c r="Q77" s="128" t="str">
        <f aca="true" t="shared" si="10" ref="Q77:Q85">+A77</f>
        <v>T30/s</v>
      </c>
      <c r="R77" s="127">
        <f aca="true" t="shared" si="11" ref="R77:W85">+B77-J77</f>
        <v>0.2799999999999999</v>
      </c>
      <c r="S77" s="127">
        <f t="shared" si="11"/>
        <v>0.2799999999999999</v>
      </c>
      <c r="T77" s="127">
        <f t="shared" si="11"/>
        <v>0.2899999999999999</v>
      </c>
      <c r="U77" s="127">
        <f t="shared" si="11"/>
        <v>0.2899999999999999</v>
      </c>
      <c r="V77" s="127">
        <f t="shared" si="11"/>
        <v>0.29999999999999993</v>
      </c>
      <c r="W77" s="127">
        <f t="shared" si="11"/>
        <v>0.29999999999999993</v>
      </c>
    </row>
    <row r="78" spans="1:23" ht="12.75">
      <c r="A78" s="245" t="s">
        <v>9</v>
      </c>
      <c r="B78" s="272">
        <v>0.96</v>
      </c>
      <c r="C78" s="273">
        <v>0.94</v>
      </c>
      <c r="D78" s="273">
        <v>0.94</v>
      </c>
      <c r="E78" s="273">
        <v>0.93</v>
      </c>
      <c r="F78" s="273">
        <v>0.94</v>
      </c>
      <c r="G78" s="274">
        <v>0.95</v>
      </c>
      <c r="H78" s="249"/>
      <c r="I78" s="245" t="s">
        <v>9</v>
      </c>
      <c r="J78" s="250">
        <v>0.68</v>
      </c>
      <c r="K78" s="249">
        <v>0.61</v>
      </c>
      <c r="L78" s="249">
        <v>0.68</v>
      </c>
      <c r="M78" s="249">
        <v>0.67</v>
      </c>
      <c r="N78" s="249">
        <v>0.69</v>
      </c>
      <c r="O78" s="261">
        <v>0.7</v>
      </c>
      <c r="P78" s="158"/>
      <c r="Q78" s="128" t="str">
        <f t="shared" si="10"/>
        <v>EDT/s</v>
      </c>
      <c r="R78" s="127">
        <f t="shared" si="11"/>
        <v>0.2799999999999999</v>
      </c>
      <c r="S78" s="127">
        <f t="shared" si="11"/>
        <v>0.32999999999999996</v>
      </c>
      <c r="T78" s="127">
        <f t="shared" si="11"/>
        <v>0.2599999999999999</v>
      </c>
      <c r="U78" s="127">
        <f t="shared" si="11"/>
        <v>0.26</v>
      </c>
      <c r="V78" s="127">
        <f t="shared" si="11"/>
        <v>0.25</v>
      </c>
      <c r="W78" s="127">
        <f t="shared" si="11"/>
        <v>0.25</v>
      </c>
    </row>
    <row r="79" spans="1:23" ht="12.75">
      <c r="A79" s="245" t="s">
        <v>10</v>
      </c>
      <c r="B79" s="272">
        <v>54.2</v>
      </c>
      <c r="C79" s="273">
        <v>58.7</v>
      </c>
      <c r="D79" s="273">
        <v>54.6</v>
      </c>
      <c r="E79" s="273">
        <v>61.2</v>
      </c>
      <c r="F79" s="273">
        <v>55.8</v>
      </c>
      <c r="G79" s="274">
        <v>58.7</v>
      </c>
      <c r="H79" s="249"/>
      <c r="I79" s="245" t="s">
        <v>10</v>
      </c>
      <c r="J79" s="250">
        <v>67.9</v>
      </c>
      <c r="K79" s="249">
        <v>72.8</v>
      </c>
      <c r="L79" s="249">
        <v>63.8</v>
      </c>
      <c r="M79" s="249">
        <v>72.7</v>
      </c>
      <c r="N79" s="249">
        <v>66.8</v>
      </c>
      <c r="O79" s="251">
        <v>72.4</v>
      </c>
      <c r="P79" s="158"/>
      <c r="Q79" s="128" t="str">
        <f t="shared" si="10"/>
        <v>D/%</v>
      </c>
      <c r="R79" s="127">
        <f t="shared" si="11"/>
        <v>-13.700000000000003</v>
      </c>
      <c r="S79" s="127">
        <f t="shared" si="11"/>
        <v>-14.099999999999994</v>
      </c>
      <c r="T79" s="127">
        <f t="shared" si="11"/>
        <v>-9.199999999999996</v>
      </c>
      <c r="U79" s="127">
        <f t="shared" si="11"/>
        <v>-11.5</v>
      </c>
      <c r="V79" s="127">
        <f t="shared" si="11"/>
        <v>-11</v>
      </c>
      <c r="W79" s="127">
        <f t="shared" si="11"/>
        <v>-13.700000000000003</v>
      </c>
    </row>
    <row r="80" spans="1:23" ht="12.75">
      <c r="A80" s="245" t="s">
        <v>11</v>
      </c>
      <c r="B80" s="272">
        <v>3.6</v>
      </c>
      <c r="C80" s="273">
        <v>4.5</v>
      </c>
      <c r="D80" s="273">
        <v>3.7</v>
      </c>
      <c r="E80" s="273">
        <v>5.1</v>
      </c>
      <c r="F80" s="273">
        <v>3.7</v>
      </c>
      <c r="G80" s="274">
        <v>4.5</v>
      </c>
      <c r="H80" s="249"/>
      <c r="I80" s="245" t="s">
        <v>11</v>
      </c>
      <c r="J80" s="250">
        <v>6.7</v>
      </c>
      <c r="K80" s="249">
        <v>8.2</v>
      </c>
      <c r="L80" s="249">
        <v>6.3</v>
      </c>
      <c r="M80" s="249">
        <v>7.7</v>
      </c>
      <c r="N80" s="249">
        <v>6.4</v>
      </c>
      <c r="O80" s="251">
        <v>7.3</v>
      </c>
      <c r="P80" s="158"/>
      <c r="Q80" s="128" t="str">
        <f t="shared" si="10"/>
        <v>C/dB</v>
      </c>
      <c r="R80" s="127">
        <f t="shared" si="11"/>
        <v>-3.1</v>
      </c>
      <c r="S80" s="127">
        <f t="shared" si="11"/>
        <v>-3.6999999999999993</v>
      </c>
      <c r="T80" s="127">
        <f t="shared" si="11"/>
        <v>-2.5999999999999996</v>
      </c>
      <c r="U80" s="127">
        <f t="shared" si="11"/>
        <v>-2.6000000000000005</v>
      </c>
      <c r="V80" s="127">
        <f t="shared" si="11"/>
        <v>-2.7</v>
      </c>
      <c r="W80" s="127">
        <f t="shared" si="11"/>
        <v>-2.8</v>
      </c>
    </row>
    <row r="81" spans="1:23" ht="12.75">
      <c r="A81" s="245" t="s">
        <v>12</v>
      </c>
      <c r="B81" s="272">
        <v>64.9</v>
      </c>
      <c r="C81" s="273">
        <v>58.5</v>
      </c>
      <c r="D81" s="273">
        <v>65.4</v>
      </c>
      <c r="E81" s="273">
        <v>54.4</v>
      </c>
      <c r="F81" s="273">
        <v>64.6</v>
      </c>
      <c r="G81" s="274">
        <v>57.4</v>
      </c>
      <c r="H81" s="249"/>
      <c r="I81" s="245" t="s">
        <v>12</v>
      </c>
      <c r="J81" s="250">
        <v>43.9</v>
      </c>
      <c r="K81" s="249">
        <v>36.2</v>
      </c>
      <c r="L81" s="249">
        <v>47.3</v>
      </c>
      <c r="M81" s="249">
        <v>36.5</v>
      </c>
      <c r="N81" s="249">
        <v>44.8</v>
      </c>
      <c r="O81" s="251">
        <v>37</v>
      </c>
      <c r="P81" s="158"/>
      <c r="Q81" s="128" t="str">
        <f t="shared" si="10"/>
        <v>TS/ms</v>
      </c>
      <c r="R81" s="127">
        <f t="shared" si="11"/>
        <v>21.000000000000007</v>
      </c>
      <c r="S81" s="127">
        <f t="shared" si="11"/>
        <v>22.299999999999997</v>
      </c>
      <c r="T81" s="127">
        <f t="shared" si="11"/>
        <v>18.10000000000001</v>
      </c>
      <c r="U81" s="127">
        <f t="shared" si="11"/>
        <v>17.9</v>
      </c>
      <c r="V81" s="127">
        <f t="shared" si="11"/>
        <v>19.799999999999997</v>
      </c>
      <c r="W81" s="127">
        <f t="shared" si="11"/>
        <v>20.4</v>
      </c>
    </row>
    <row r="82" spans="1:23" ht="12.75">
      <c r="A82" s="245" t="s">
        <v>13</v>
      </c>
      <c r="B82" s="272">
        <v>18.6</v>
      </c>
      <c r="C82" s="273">
        <v>19.8</v>
      </c>
      <c r="D82" s="273">
        <v>18.7</v>
      </c>
      <c r="E82" s="273">
        <v>19.5</v>
      </c>
      <c r="F82" s="273">
        <v>18.9</v>
      </c>
      <c r="G82" s="274">
        <v>19.5</v>
      </c>
      <c r="H82" s="249"/>
      <c r="I82" s="245" t="s">
        <v>13</v>
      </c>
      <c r="J82" s="262">
        <v>17</v>
      </c>
      <c r="K82" s="249">
        <v>18.9</v>
      </c>
      <c r="L82" s="249">
        <v>17.1</v>
      </c>
      <c r="M82" s="263">
        <v>18</v>
      </c>
      <c r="N82" s="249">
        <v>17.3</v>
      </c>
      <c r="O82" s="251">
        <v>18.4</v>
      </c>
      <c r="P82" s="158"/>
      <c r="Q82" s="128" t="str">
        <f t="shared" si="10"/>
        <v>G/dB</v>
      </c>
      <c r="R82" s="127">
        <f t="shared" si="11"/>
        <v>1.6000000000000014</v>
      </c>
      <c r="S82" s="127">
        <f t="shared" si="11"/>
        <v>0.9000000000000021</v>
      </c>
      <c r="T82" s="127">
        <f t="shared" si="11"/>
        <v>1.5999999999999979</v>
      </c>
      <c r="U82" s="127">
        <f t="shared" si="11"/>
        <v>1.5</v>
      </c>
      <c r="V82" s="127">
        <f t="shared" si="11"/>
        <v>1.5999999999999979</v>
      </c>
      <c r="W82" s="127">
        <f t="shared" si="11"/>
        <v>1.1000000000000014</v>
      </c>
    </row>
    <row r="83" spans="1:23" ht="12.75">
      <c r="A83" s="245" t="s">
        <v>14</v>
      </c>
      <c r="B83" s="272">
        <v>27.4</v>
      </c>
      <c r="C83" s="273">
        <v>24.7</v>
      </c>
      <c r="D83" s="273">
        <v>27.8</v>
      </c>
      <c r="E83" s="273">
        <v>24</v>
      </c>
      <c r="F83" s="273">
        <v>27.1</v>
      </c>
      <c r="G83" s="274">
        <v>26.3</v>
      </c>
      <c r="H83" s="249"/>
      <c r="I83" s="245" t="s">
        <v>14</v>
      </c>
      <c r="J83" s="250">
        <v>21.4</v>
      </c>
      <c r="K83" s="249">
        <v>27.2</v>
      </c>
      <c r="L83" s="249">
        <v>27.1</v>
      </c>
      <c r="M83" s="249">
        <v>19.9</v>
      </c>
      <c r="N83" s="249">
        <v>23.9</v>
      </c>
      <c r="O83" s="251">
        <v>25.5</v>
      </c>
      <c r="P83" s="158"/>
      <c r="Q83" s="128" t="str">
        <f t="shared" si="10"/>
        <v>LF/%</v>
      </c>
      <c r="R83" s="127">
        <f t="shared" si="11"/>
        <v>6</v>
      </c>
      <c r="S83" s="127">
        <f t="shared" si="11"/>
        <v>-2.5</v>
      </c>
      <c r="T83" s="127">
        <f t="shared" si="11"/>
        <v>0.6999999999999993</v>
      </c>
      <c r="U83" s="127">
        <f t="shared" si="11"/>
        <v>4.100000000000001</v>
      </c>
      <c r="V83" s="127">
        <f t="shared" si="11"/>
        <v>3.200000000000003</v>
      </c>
      <c r="W83" s="127">
        <f t="shared" si="11"/>
        <v>0.8000000000000007</v>
      </c>
    </row>
    <row r="84" spans="1:23" ht="12.75">
      <c r="A84" s="245" t="s">
        <v>15</v>
      </c>
      <c r="B84" s="272">
        <v>38.3</v>
      </c>
      <c r="C84" s="273">
        <v>35.9</v>
      </c>
      <c r="D84" s="273">
        <v>41.5</v>
      </c>
      <c r="E84" s="273">
        <v>34.4</v>
      </c>
      <c r="F84" s="273">
        <v>39.5</v>
      </c>
      <c r="G84" s="274">
        <v>36.8</v>
      </c>
      <c r="H84" s="249"/>
      <c r="I84" s="245" t="s">
        <v>15</v>
      </c>
      <c r="J84" s="262">
        <v>32</v>
      </c>
      <c r="K84" s="263">
        <v>37</v>
      </c>
      <c r="L84" s="263">
        <v>40.2</v>
      </c>
      <c r="M84" s="263">
        <v>29</v>
      </c>
      <c r="N84" s="263">
        <v>34.9</v>
      </c>
      <c r="O84" s="264">
        <v>35.3</v>
      </c>
      <c r="P84" s="158"/>
      <c r="Q84" s="128" t="str">
        <f t="shared" si="10"/>
        <v>LFC/%</v>
      </c>
      <c r="R84" s="127">
        <f t="shared" si="11"/>
        <v>6.299999999999997</v>
      </c>
      <c r="S84" s="127">
        <f t="shared" si="11"/>
        <v>-1.1000000000000014</v>
      </c>
      <c r="T84" s="127">
        <f t="shared" si="11"/>
        <v>1.2999999999999972</v>
      </c>
      <c r="U84" s="127">
        <f t="shared" si="11"/>
        <v>5.399999999999999</v>
      </c>
      <c r="V84" s="127">
        <f t="shared" si="11"/>
        <v>4.600000000000001</v>
      </c>
      <c r="W84" s="127">
        <f t="shared" si="11"/>
        <v>1.5</v>
      </c>
    </row>
    <row r="85" spans="1:23" ht="12.75">
      <c r="A85" s="252" t="s">
        <v>16</v>
      </c>
      <c r="B85" s="275">
        <v>0.18</v>
      </c>
      <c r="C85" s="276">
        <v>0.25</v>
      </c>
      <c r="D85" s="276">
        <v>0.16</v>
      </c>
      <c r="E85" s="276">
        <v>0.22</v>
      </c>
      <c r="F85" s="276">
        <v>0.17</v>
      </c>
      <c r="G85" s="277">
        <v>0.34</v>
      </c>
      <c r="H85" s="249"/>
      <c r="I85" s="252" t="s">
        <v>16</v>
      </c>
      <c r="J85" s="253">
        <v>0.14</v>
      </c>
      <c r="K85" s="254">
        <v>0.28</v>
      </c>
      <c r="L85" s="254">
        <v>0.12</v>
      </c>
      <c r="M85" s="254">
        <v>0.29</v>
      </c>
      <c r="N85" s="254">
        <v>0.33</v>
      </c>
      <c r="O85" s="255">
        <v>0.3</v>
      </c>
      <c r="P85" s="158"/>
      <c r="Q85" s="128" t="str">
        <f t="shared" si="10"/>
        <v>IACC</v>
      </c>
      <c r="R85" s="127">
        <f t="shared" si="11"/>
        <v>0.03999999999999998</v>
      </c>
      <c r="S85" s="127">
        <f t="shared" si="11"/>
        <v>-0.030000000000000027</v>
      </c>
      <c r="T85" s="127">
        <f t="shared" si="11"/>
        <v>0.04000000000000001</v>
      </c>
      <c r="U85" s="127">
        <f t="shared" si="11"/>
        <v>-0.06999999999999998</v>
      </c>
      <c r="V85" s="127">
        <f t="shared" si="11"/>
        <v>-0.16</v>
      </c>
      <c r="W85" s="127">
        <f t="shared" si="11"/>
        <v>0.040000000000000036</v>
      </c>
    </row>
    <row r="86" spans="6:15" ht="12.75">
      <c r="F86" s="240"/>
      <c r="G86" s="240"/>
      <c r="H86" s="240"/>
      <c r="M86" s="240"/>
      <c r="N86" s="240"/>
      <c r="O86" s="240"/>
    </row>
    <row r="87" spans="5:15" ht="12.75">
      <c r="E87" s="240"/>
      <c r="F87" s="240"/>
      <c r="G87" s="240"/>
      <c r="H87" s="240"/>
      <c r="M87" s="240"/>
      <c r="N87" s="240"/>
      <c r="O87" s="240"/>
    </row>
    <row r="88" spans="1:15" ht="12.75">
      <c r="A88" s="278"/>
      <c r="E88" s="240"/>
      <c r="F88" s="240"/>
      <c r="G88" s="240"/>
      <c r="H88" s="240"/>
      <c r="I88" s="278"/>
      <c r="M88" s="240"/>
      <c r="N88" s="240"/>
      <c r="O88" s="240"/>
    </row>
    <row r="89" spans="5:15" ht="12.75">
      <c r="E89" s="240"/>
      <c r="F89" s="240"/>
      <c r="G89" s="240"/>
      <c r="H89" s="240"/>
      <c r="J89" s="279"/>
      <c r="M89" s="240"/>
      <c r="N89" s="240"/>
      <c r="O89" s="240"/>
    </row>
    <row r="90" spans="5:15" ht="12.75">
      <c r="E90" s="240"/>
      <c r="F90" s="240"/>
      <c r="G90" s="240"/>
      <c r="H90" s="240"/>
      <c r="M90" s="240"/>
      <c r="N90" s="240"/>
      <c r="O90" s="240"/>
    </row>
    <row r="91" spans="5:15" ht="12.75">
      <c r="E91" s="240"/>
      <c r="F91" s="240"/>
      <c r="G91" s="240"/>
      <c r="H91" s="240"/>
      <c r="M91" s="240"/>
      <c r="N91" s="240"/>
      <c r="O91" s="240"/>
    </row>
    <row r="92" spans="5:15" ht="12.75">
      <c r="E92" s="240"/>
      <c r="F92" s="240"/>
      <c r="G92" s="240"/>
      <c r="H92" s="240"/>
      <c r="M92" s="240"/>
      <c r="N92" s="240"/>
      <c r="O92" s="240"/>
    </row>
    <row r="93" spans="5:15" ht="12.75">
      <c r="E93" s="240"/>
      <c r="F93" s="240"/>
      <c r="G93" s="240"/>
      <c r="H93" s="240"/>
      <c r="M93" s="240"/>
      <c r="N93" s="240"/>
      <c r="O93" s="240"/>
    </row>
  </sheetData>
  <printOptions/>
  <pageMargins left="0.75" right="0.75" top="1" bottom="1" header="0.4921259845" footer="0.4921259845"/>
  <pageSetup fitToHeight="1" fitToWidth="1" horizontalDpi="300" verticalDpi="300" orientation="portrait" paperSize="9" scale="53" r:id="rId1"/>
  <headerFooter alignWithMargins="0">
    <oddHeader>&amp;C&amp;A</oddHeader>
    <oddFooter>&amp;LPTB 1.401&amp;CSeite &amp;P&amp;R&amp;D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W93"/>
  <sheetViews>
    <sheetView zoomScale="75" zoomScaleNormal="75" workbookViewId="0" topLeftCell="A1">
      <selection activeCell="F37" sqref="F37"/>
    </sheetView>
  </sheetViews>
  <sheetFormatPr defaultColWidth="11.5546875" defaultRowHeight="15"/>
  <cols>
    <col min="1" max="1" width="7.77734375" style="128" customWidth="1"/>
    <col min="2" max="16" width="6.77734375" style="128" customWidth="1"/>
    <col min="17" max="17" width="11.5546875" style="128" customWidth="1" collapsed="1"/>
    <col min="18" max="16384" width="11.5546875" style="128" customWidth="1"/>
  </cols>
  <sheetData>
    <row r="1" spans="1:10" ht="13.5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2" ht="13.5" thickBot="1">
      <c r="A2" s="3"/>
      <c r="B2" s="4"/>
    </row>
    <row r="5" spans="1:7" ht="12.75">
      <c r="A5" s="150"/>
      <c r="B5" s="151"/>
      <c r="C5" s="151"/>
      <c r="D5" s="152"/>
      <c r="G5" s="150"/>
    </row>
    <row r="6" spans="1:3" ht="12" customHeight="1">
      <c r="A6" s="153"/>
      <c r="B6" s="151"/>
      <c r="C6" s="151"/>
    </row>
    <row r="7" spans="2:3" ht="12.75">
      <c r="B7" s="151"/>
      <c r="C7" s="151"/>
    </row>
    <row r="8" spans="1:3" ht="12.75">
      <c r="A8" s="150"/>
      <c r="B8" s="151"/>
      <c r="C8" s="151"/>
    </row>
    <row r="12" spans="1:2" ht="12.75">
      <c r="A12" s="82"/>
      <c r="B12" s="82"/>
    </row>
    <row r="14" spans="1:17" ht="12.75">
      <c r="A14" s="128" t="s">
        <v>27</v>
      </c>
      <c r="I14" s="128" t="s">
        <v>28</v>
      </c>
      <c r="Q14" s="128" t="s">
        <v>32</v>
      </c>
    </row>
    <row r="15" spans="1:18" ht="12.75">
      <c r="A15" s="155" t="s">
        <v>0</v>
      </c>
      <c r="B15" s="156" t="s">
        <v>1</v>
      </c>
      <c r="E15" s="136"/>
      <c r="F15" s="136"/>
      <c r="G15" s="136"/>
      <c r="H15" s="136"/>
      <c r="I15" s="155" t="s">
        <v>0</v>
      </c>
      <c r="J15" s="156" t="s">
        <v>1</v>
      </c>
      <c r="M15" s="136"/>
      <c r="N15" s="136"/>
      <c r="O15" s="136"/>
      <c r="Q15" s="128" t="str">
        <f>+A15</f>
        <v>125 Hz</v>
      </c>
      <c r="R15" s="128" t="str">
        <f>+B15</f>
        <v>octave</v>
      </c>
    </row>
    <row r="16" spans="1:23" ht="12.75">
      <c r="A16" s="142"/>
      <c r="B16" s="140" t="s">
        <v>2</v>
      </c>
      <c r="C16" s="140" t="s">
        <v>3</v>
      </c>
      <c r="D16" s="139" t="s">
        <v>4</v>
      </c>
      <c r="E16" s="139" t="s">
        <v>5</v>
      </c>
      <c r="F16" s="140" t="s">
        <v>6</v>
      </c>
      <c r="G16" s="139" t="s">
        <v>7</v>
      </c>
      <c r="H16" s="141"/>
      <c r="I16" s="142"/>
      <c r="J16" s="140" t="s">
        <v>2</v>
      </c>
      <c r="K16" s="140" t="s">
        <v>3</v>
      </c>
      <c r="L16" s="139" t="s">
        <v>4</v>
      </c>
      <c r="M16" s="139" t="s">
        <v>5</v>
      </c>
      <c r="N16" s="140" t="s">
        <v>6</v>
      </c>
      <c r="O16" s="139" t="s">
        <v>7</v>
      </c>
      <c r="P16" s="157"/>
      <c r="Q16" s="128">
        <f>+A16</f>
        <v>0</v>
      </c>
      <c r="R16" s="128" t="str">
        <f>+B16</f>
        <v>S1R1</v>
      </c>
      <c r="S16" s="128" t="str">
        <f>+C16</f>
        <v>S1R2</v>
      </c>
      <c r="T16" s="128" t="str">
        <f>+D16</f>
        <v>S1R3</v>
      </c>
      <c r="U16" s="128" t="str">
        <f>+E16</f>
        <v>S2R1</v>
      </c>
      <c r="V16" s="128" t="str">
        <f>+F16</f>
        <v>S2R2</v>
      </c>
      <c r="W16" s="128" t="str">
        <f>+G16</f>
        <v>S2R3</v>
      </c>
    </row>
    <row r="17" spans="1:23" ht="12.75">
      <c r="A17" s="130" t="s">
        <v>8</v>
      </c>
      <c r="B17" s="145">
        <v>0.94</v>
      </c>
      <c r="C17" s="143">
        <v>0.92</v>
      </c>
      <c r="D17" s="143">
        <v>0.95</v>
      </c>
      <c r="E17" s="125">
        <v>0.92</v>
      </c>
      <c r="F17" s="143">
        <v>0.95</v>
      </c>
      <c r="G17" s="144">
        <v>0.95</v>
      </c>
      <c r="H17" s="125"/>
      <c r="I17" s="130" t="s">
        <v>8</v>
      </c>
      <c r="J17" s="145">
        <v>0.88</v>
      </c>
      <c r="K17" s="143">
        <v>0.91</v>
      </c>
      <c r="L17" s="143">
        <v>0.88</v>
      </c>
      <c r="M17" s="125">
        <v>0.88</v>
      </c>
      <c r="N17" s="143">
        <v>0.92</v>
      </c>
      <c r="O17" s="144">
        <v>0.89</v>
      </c>
      <c r="P17" s="158"/>
      <c r="Q17" s="128" t="str">
        <f aca="true" t="shared" si="0" ref="Q17:Q25">+A17</f>
        <v>T30/s</v>
      </c>
      <c r="R17" s="127">
        <f aca="true" t="shared" si="1" ref="R17:W25">+B17-J17</f>
        <v>0.05999999999999994</v>
      </c>
      <c r="S17" s="127">
        <f t="shared" si="1"/>
        <v>0.010000000000000009</v>
      </c>
      <c r="T17" s="127">
        <f t="shared" si="1"/>
        <v>0.06999999999999995</v>
      </c>
      <c r="U17" s="127">
        <f t="shared" si="1"/>
        <v>0.040000000000000036</v>
      </c>
      <c r="V17" s="127">
        <f t="shared" si="1"/>
        <v>0.029999999999999916</v>
      </c>
      <c r="W17" s="127">
        <f t="shared" si="1"/>
        <v>0.05999999999999994</v>
      </c>
    </row>
    <row r="18" spans="1:23" ht="12.75">
      <c r="A18" s="130" t="s">
        <v>9</v>
      </c>
      <c r="B18" s="131">
        <v>0.88</v>
      </c>
      <c r="C18" s="125">
        <v>0.84</v>
      </c>
      <c r="D18" s="125">
        <v>0.89</v>
      </c>
      <c r="E18" s="125">
        <v>0.81</v>
      </c>
      <c r="F18" s="125">
        <v>0.9</v>
      </c>
      <c r="G18" s="129">
        <v>0.79</v>
      </c>
      <c r="H18" s="125"/>
      <c r="I18" s="130" t="s">
        <v>9</v>
      </c>
      <c r="J18" s="131">
        <v>0.78</v>
      </c>
      <c r="K18" s="125">
        <v>0.8</v>
      </c>
      <c r="L18" s="125">
        <v>0.86</v>
      </c>
      <c r="M18" s="125">
        <v>0.72</v>
      </c>
      <c r="N18" s="125">
        <v>0.9</v>
      </c>
      <c r="O18" s="129">
        <v>0.73</v>
      </c>
      <c r="P18" s="158"/>
      <c r="Q18" s="128" t="str">
        <f t="shared" si="0"/>
        <v>EDT/s</v>
      </c>
      <c r="R18" s="127">
        <f t="shared" si="1"/>
        <v>0.09999999999999998</v>
      </c>
      <c r="S18" s="127">
        <f t="shared" si="1"/>
        <v>0.039999999999999925</v>
      </c>
      <c r="T18" s="127">
        <f t="shared" si="1"/>
        <v>0.030000000000000027</v>
      </c>
      <c r="U18" s="127">
        <f t="shared" si="1"/>
        <v>0.09000000000000008</v>
      </c>
      <c r="V18" s="127">
        <f t="shared" si="1"/>
        <v>0</v>
      </c>
      <c r="W18" s="127">
        <f t="shared" si="1"/>
        <v>0.06000000000000005</v>
      </c>
    </row>
    <row r="19" spans="1:23" ht="12.75">
      <c r="A19" s="130" t="s">
        <v>10</v>
      </c>
      <c r="B19" s="131">
        <v>57</v>
      </c>
      <c r="C19" s="125">
        <v>60</v>
      </c>
      <c r="D19" s="125">
        <v>56</v>
      </c>
      <c r="E19" s="125">
        <v>60</v>
      </c>
      <c r="F19" s="125">
        <v>55</v>
      </c>
      <c r="G19" s="129">
        <v>63</v>
      </c>
      <c r="H19" s="125"/>
      <c r="I19" s="130" t="s">
        <v>10</v>
      </c>
      <c r="J19" s="131">
        <v>61</v>
      </c>
      <c r="K19" s="125">
        <v>61</v>
      </c>
      <c r="L19" s="125">
        <v>57</v>
      </c>
      <c r="M19" s="125">
        <v>64</v>
      </c>
      <c r="N19" s="125">
        <v>55</v>
      </c>
      <c r="O19" s="129">
        <v>65</v>
      </c>
      <c r="P19" s="158"/>
      <c r="Q19" s="128" t="str">
        <f t="shared" si="0"/>
        <v>D/%</v>
      </c>
      <c r="R19" s="127">
        <f t="shared" si="1"/>
        <v>-4</v>
      </c>
      <c r="S19" s="127">
        <f t="shared" si="1"/>
        <v>-1</v>
      </c>
      <c r="T19" s="127">
        <f t="shared" si="1"/>
        <v>-1</v>
      </c>
      <c r="U19" s="127">
        <f t="shared" si="1"/>
        <v>-4</v>
      </c>
      <c r="V19" s="127">
        <f t="shared" si="1"/>
        <v>0</v>
      </c>
      <c r="W19" s="127">
        <f t="shared" si="1"/>
        <v>-2</v>
      </c>
    </row>
    <row r="20" spans="1:23" ht="12.75">
      <c r="A20" s="130" t="s">
        <v>11</v>
      </c>
      <c r="B20" s="131">
        <v>4.2</v>
      </c>
      <c r="C20" s="125">
        <v>4.6</v>
      </c>
      <c r="D20" s="125">
        <v>3.9</v>
      </c>
      <c r="E20" s="125">
        <v>4.9</v>
      </c>
      <c r="F20" s="125">
        <v>3.9</v>
      </c>
      <c r="G20" s="129">
        <v>5</v>
      </c>
      <c r="H20" s="125"/>
      <c r="I20" s="130" t="s">
        <v>11</v>
      </c>
      <c r="J20" s="131">
        <v>5</v>
      </c>
      <c r="K20" s="125">
        <v>4.8</v>
      </c>
      <c r="L20" s="125">
        <v>4.4</v>
      </c>
      <c r="M20" s="125">
        <v>5.7</v>
      </c>
      <c r="N20" s="125">
        <v>3.9</v>
      </c>
      <c r="O20" s="129">
        <v>5.7</v>
      </c>
      <c r="P20" s="158"/>
      <c r="Q20" s="128" t="str">
        <f t="shared" si="0"/>
        <v>C/dB</v>
      </c>
      <c r="R20" s="127">
        <f t="shared" si="1"/>
        <v>-0.7999999999999998</v>
      </c>
      <c r="S20" s="127">
        <f t="shared" si="1"/>
        <v>-0.20000000000000018</v>
      </c>
      <c r="T20" s="127">
        <f t="shared" si="1"/>
        <v>-0.5000000000000004</v>
      </c>
      <c r="U20" s="127">
        <f t="shared" si="1"/>
        <v>-0.7999999999999998</v>
      </c>
      <c r="V20" s="127">
        <f t="shared" si="1"/>
        <v>0</v>
      </c>
      <c r="W20" s="127">
        <f t="shared" si="1"/>
        <v>-0.7000000000000002</v>
      </c>
    </row>
    <row r="21" spans="1:23" ht="12.75">
      <c r="A21" s="130" t="s">
        <v>12</v>
      </c>
      <c r="B21" s="131">
        <v>62</v>
      </c>
      <c r="C21" s="125">
        <v>58</v>
      </c>
      <c r="D21" s="125">
        <v>64</v>
      </c>
      <c r="E21" s="125">
        <v>56</v>
      </c>
      <c r="F21" s="125">
        <v>65</v>
      </c>
      <c r="G21" s="129">
        <v>54</v>
      </c>
      <c r="H21" s="125"/>
      <c r="I21" s="130" t="s">
        <v>12</v>
      </c>
      <c r="J21" s="131">
        <v>55</v>
      </c>
      <c r="K21" s="125">
        <v>55</v>
      </c>
      <c r="L21" s="125">
        <v>61</v>
      </c>
      <c r="M21" s="125">
        <v>50</v>
      </c>
      <c r="N21" s="125">
        <v>64</v>
      </c>
      <c r="O21" s="129">
        <v>50</v>
      </c>
      <c r="P21" s="158"/>
      <c r="Q21" s="128" t="str">
        <f t="shared" si="0"/>
        <v>TS/ms</v>
      </c>
      <c r="R21" s="127">
        <f t="shared" si="1"/>
        <v>7</v>
      </c>
      <c r="S21" s="127">
        <f t="shared" si="1"/>
        <v>3</v>
      </c>
      <c r="T21" s="127">
        <f t="shared" si="1"/>
        <v>3</v>
      </c>
      <c r="U21" s="127">
        <f t="shared" si="1"/>
        <v>6</v>
      </c>
      <c r="V21" s="127">
        <f t="shared" si="1"/>
        <v>1</v>
      </c>
      <c r="W21" s="127">
        <f t="shared" si="1"/>
        <v>4</v>
      </c>
    </row>
    <row r="22" spans="1:23" ht="12.75">
      <c r="A22" s="130" t="s">
        <v>13</v>
      </c>
      <c r="B22" s="131">
        <v>19</v>
      </c>
      <c r="C22" s="125">
        <v>20</v>
      </c>
      <c r="D22" s="125">
        <v>19</v>
      </c>
      <c r="E22" s="125">
        <v>20</v>
      </c>
      <c r="F22" s="125">
        <v>19</v>
      </c>
      <c r="G22" s="129">
        <v>20</v>
      </c>
      <c r="H22" s="125"/>
      <c r="I22" s="130" t="s">
        <v>13</v>
      </c>
      <c r="J22" s="131">
        <v>19</v>
      </c>
      <c r="K22" s="125">
        <v>20</v>
      </c>
      <c r="L22" s="125">
        <v>18</v>
      </c>
      <c r="M22" s="125">
        <v>20</v>
      </c>
      <c r="N22" s="125">
        <v>19</v>
      </c>
      <c r="O22" s="129">
        <v>20</v>
      </c>
      <c r="P22" s="158"/>
      <c r="Q22" s="128" t="str">
        <f t="shared" si="0"/>
        <v>G/dB</v>
      </c>
      <c r="R22" s="127">
        <f t="shared" si="1"/>
        <v>0</v>
      </c>
      <c r="S22" s="127">
        <f t="shared" si="1"/>
        <v>0</v>
      </c>
      <c r="T22" s="127">
        <f t="shared" si="1"/>
        <v>1</v>
      </c>
      <c r="U22" s="127">
        <f t="shared" si="1"/>
        <v>0</v>
      </c>
      <c r="V22" s="127">
        <f t="shared" si="1"/>
        <v>0</v>
      </c>
      <c r="W22" s="127">
        <f t="shared" si="1"/>
        <v>0</v>
      </c>
    </row>
    <row r="23" spans="1:23" ht="12.75">
      <c r="A23" s="130" t="s">
        <v>14</v>
      </c>
      <c r="B23" s="131">
        <v>29</v>
      </c>
      <c r="C23" s="125">
        <v>21</v>
      </c>
      <c r="D23" s="125">
        <v>28</v>
      </c>
      <c r="E23" s="125">
        <v>24</v>
      </c>
      <c r="F23" s="125">
        <v>28</v>
      </c>
      <c r="G23" s="129">
        <v>25</v>
      </c>
      <c r="H23" s="125"/>
      <c r="I23" s="130" t="s">
        <v>14</v>
      </c>
      <c r="J23" s="131">
        <v>28</v>
      </c>
      <c r="K23" s="125">
        <v>20</v>
      </c>
      <c r="L23" s="125">
        <v>28</v>
      </c>
      <c r="M23" s="125">
        <v>23</v>
      </c>
      <c r="N23" s="125">
        <v>28</v>
      </c>
      <c r="O23" s="129">
        <v>26</v>
      </c>
      <c r="Q23" s="128" t="str">
        <f t="shared" si="0"/>
        <v>LF/%</v>
      </c>
      <c r="R23" s="127">
        <f t="shared" si="1"/>
        <v>1</v>
      </c>
      <c r="S23" s="127">
        <f t="shared" si="1"/>
        <v>1</v>
      </c>
      <c r="T23" s="127">
        <f t="shared" si="1"/>
        <v>0</v>
      </c>
      <c r="U23" s="127">
        <f t="shared" si="1"/>
        <v>1</v>
      </c>
      <c r="V23" s="127">
        <f t="shared" si="1"/>
        <v>0</v>
      </c>
      <c r="W23" s="127">
        <f t="shared" si="1"/>
        <v>-1</v>
      </c>
    </row>
    <row r="24" spans="1:23" ht="12.75">
      <c r="A24" s="130" t="s">
        <v>15</v>
      </c>
      <c r="B24" s="131">
        <v>41</v>
      </c>
      <c r="C24" s="125">
        <v>32</v>
      </c>
      <c r="D24" s="125">
        <v>42</v>
      </c>
      <c r="E24" s="125">
        <v>35</v>
      </c>
      <c r="F24" s="125">
        <v>40</v>
      </c>
      <c r="G24" s="129">
        <v>37</v>
      </c>
      <c r="H24" s="125"/>
      <c r="I24" s="130" t="s">
        <v>15</v>
      </c>
      <c r="J24" s="131">
        <v>39</v>
      </c>
      <c r="K24" s="125">
        <v>30</v>
      </c>
      <c r="L24" s="125">
        <v>41</v>
      </c>
      <c r="M24" s="125">
        <v>33</v>
      </c>
      <c r="N24" s="125">
        <v>40</v>
      </c>
      <c r="O24" s="129">
        <v>38</v>
      </c>
      <c r="Q24" s="128" t="str">
        <f t="shared" si="0"/>
        <v>LFC/%</v>
      </c>
      <c r="R24" s="127">
        <f t="shared" si="1"/>
        <v>2</v>
      </c>
      <c r="S24" s="127">
        <f t="shared" si="1"/>
        <v>2</v>
      </c>
      <c r="T24" s="127">
        <f t="shared" si="1"/>
        <v>1</v>
      </c>
      <c r="U24" s="127">
        <f t="shared" si="1"/>
        <v>2</v>
      </c>
      <c r="V24" s="127">
        <f t="shared" si="1"/>
        <v>0</v>
      </c>
      <c r="W24" s="127">
        <f t="shared" si="1"/>
        <v>-1</v>
      </c>
    </row>
    <row r="25" spans="1:23" ht="12.75">
      <c r="A25" s="134" t="s">
        <v>16</v>
      </c>
      <c r="B25" s="135"/>
      <c r="C25" s="132"/>
      <c r="D25" s="132"/>
      <c r="E25" s="132"/>
      <c r="F25" s="132"/>
      <c r="G25" s="133"/>
      <c r="H25" s="125"/>
      <c r="I25" s="134" t="s">
        <v>16</v>
      </c>
      <c r="J25" s="135"/>
      <c r="K25" s="132"/>
      <c r="L25" s="132"/>
      <c r="M25" s="132"/>
      <c r="N25" s="132"/>
      <c r="O25" s="133"/>
      <c r="Q25" s="128" t="str">
        <f t="shared" si="0"/>
        <v>IACC</v>
      </c>
      <c r="R25" s="127">
        <f t="shared" si="1"/>
        <v>0</v>
      </c>
      <c r="S25" s="127">
        <f t="shared" si="1"/>
        <v>0</v>
      </c>
      <c r="T25" s="127">
        <f t="shared" si="1"/>
        <v>0</v>
      </c>
      <c r="U25" s="127">
        <f t="shared" si="1"/>
        <v>0</v>
      </c>
      <c r="V25" s="127">
        <f t="shared" si="1"/>
        <v>0</v>
      </c>
      <c r="W25" s="127">
        <f t="shared" si="1"/>
        <v>0</v>
      </c>
    </row>
    <row r="26" spans="5:15" ht="12.75">
      <c r="E26" s="136"/>
      <c r="F26" s="136"/>
      <c r="G26" s="136"/>
      <c r="H26" s="136"/>
      <c r="M26" s="136"/>
      <c r="N26" s="136"/>
      <c r="O26" s="136"/>
    </row>
    <row r="27" spans="1:18" ht="12.75">
      <c r="A27" s="155" t="s">
        <v>17</v>
      </c>
      <c r="B27" s="156" t="s">
        <v>1</v>
      </c>
      <c r="E27" s="136"/>
      <c r="F27" s="136"/>
      <c r="G27" s="136"/>
      <c r="H27" s="136"/>
      <c r="I27" s="155" t="s">
        <v>17</v>
      </c>
      <c r="J27" s="156" t="s">
        <v>1</v>
      </c>
      <c r="M27" s="136"/>
      <c r="N27" s="136"/>
      <c r="O27" s="136"/>
      <c r="Q27" s="128" t="str">
        <f>+A27</f>
        <v>250 Hz</v>
      </c>
      <c r="R27" s="128" t="str">
        <f>+B27</f>
        <v>octave</v>
      </c>
    </row>
    <row r="28" spans="1:23" ht="12.75">
      <c r="A28" s="142"/>
      <c r="B28" s="140" t="s">
        <v>2</v>
      </c>
      <c r="C28" s="140" t="s">
        <v>3</v>
      </c>
      <c r="D28" s="139" t="s">
        <v>4</v>
      </c>
      <c r="E28" s="139" t="s">
        <v>5</v>
      </c>
      <c r="F28" s="140" t="s">
        <v>6</v>
      </c>
      <c r="G28" s="139" t="s">
        <v>7</v>
      </c>
      <c r="H28" s="141"/>
      <c r="I28" s="142"/>
      <c r="J28" s="140" t="s">
        <v>2</v>
      </c>
      <c r="K28" s="140" t="s">
        <v>3</v>
      </c>
      <c r="L28" s="139" t="s">
        <v>4</v>
      </c>
      <c r="M28" s="139" t="s">
        <v>5</v>
      </c>
      <c r="N28" s="140" t="s">
        <v>6</v>
      </c>
      <c r="O28" s="139" t="s">
        <v>7</v>
      </c>
      <c r="Q28" s="128">
        <f>+A28</f>
        <v>0</v>
      </c>
      <c r="R28" s="128" t="str">
        <f>+B28</f>
        <v>S1R1</v>
      </c>
      <c r="S28" s="128" t="str">
        <f>+C28</f>
        <v>S1R2</v>
      </c>
      <c r="T28" s="128" t="str">
        <f>+D28</f>
        <v>S1R3</v>
      </c>
      <c r="U28" s="128" t="str">
        <f>+E28</f>
        <v>S2R1</v>
      </c>
      <c r="V28" s="128" t="str">
        <f>+F28</f>
        <v>S2R2</v>
      </c>
      <c r="W28" s="128" t="str">
        <f>+G28</f>
        <v>S2R3</v>
      </c>
    </row>
    <row r="29" spans="1:23" ht="12.75">
      <c r="A29" s="130" t="s">
        <v>8</v>
      </c>
      <c r="B29" s="145">
        <v>1.16</v>
      </c>
      <c r="C29" s="143">
        <v>1.14</v>
      </c>
      <c r="D29" s="143">
        <v>1.16</v>
      </c>
      <c r="E29" s="125">
        <v>1.14</v>
      </c>
      <c r="F29" s="143">
        <v>1.15</v>
      </c>
      <c r="G29" s="144">
        <v>1.14</v>
      </c>
      <c r="H29" s="125"/>
      <c r="I29" s="130" t="s">
        <v>8</v>
      </c>
      <c r="J29" s="145">
        <v>0.94</v>
      </c>
      <c r="K29" s="143">
        <v>0.93</v>
      </c>
      <c r="L29" s="143">
        <v>0.94</v>
      </c>
      <c r="M29" s="125">
        <v>0.93</v>
      </c>
      <c r="N29" s="143">
        <v>0.94</v>
      </c>
      <c r="O29" s="144">
        <v>0.93</v>
      </c>
      <c r="Q29" s="128" t="str">
        <f aca="true" t="shared" si="2" ref="Q29:Q37">+A29</f>
        <v>T30/s</v>
      </c>
      <c r="R29" s="127">
        <f aca="true" t="shared" si="3" ref="R29:W37">+B29-J29</f>
        <v>0.21999999999999997</v>
      </c>
      <c r="S29" s="127">
        <f t="shared" si="3"/>
        <v>0.20999999999999985</v>
      </c>
      <c r="T29" s="127">
        <f t="shared" si="3"/>
        <v>0.21999999999999997</v>
      </c>
      <c r="U29" s="127">
        <f t="shared" si="3"/>
        <v>0.20999999999999985</v>
      </c>
      <c r="V29" s="127">
        <f t="shared" si="3"/>
        <v>0.20999999999999996</v>
      </c>
      <c r="W29" s="127">
        <f t="shared" si="3"/>
        <v>0.20999999999999985</v>
      </c>
    </row>
    <row r="30" spans="1:23" ht="12.75">
      <c r="A30" s="130" t="s">
        <v>9</v>
      </c>
      <c r="B30" s="131">
        <v>1.12</v>
      </c>
      <c r="C30" s="125">
        <v>1.06</v>
      </c>
      <c r="D30" s="125">
        <v>1.16</v>
      </c>
      <c r="E30" s="125">
        <v>1.02</v>
      </c>
      <c r="F30" s="125">
        <v>1.12</v>
      </c>
      <c r="G30" s="129">
        <v>1.01</v>
      </c>
      <c r="H30" s="125"/>
      <c r="I30" s="130" t="s">
        <v>9</v>
      </c>
      <c r="J30" s="131">
        <v>0.87</v>
      </c>
      <c r="K30" s="125">
        <v>0.84</v>
      </c>
      <c r="L30" s="125">
        <v>0.92</v>
      </c>
      <c r="M30" s="125">
        <v>0.8</v>
      </c>
      <c r="N30" s="125">
        <v>0.95</v>
      </c>
      <c r="O30" s="129">
        <v>0.8</v>
      </c>
      <c r="Q30" s="128" t="str">
        <f t="shared" si="2"/>
        <v>EDT/s</v>
      </c>
      <c r="R30" s="127">
        <f t="shared" si="3"/>
        <v>0.2500000000000001</v>
      </c>
      <c r="S30" s="127">
        <f t="shared" si="3"/>
        <v>0.22000000000000008</v>
      </c>
      <c r="T30" s="127">
        <f t="shared" si="3"/>
        <v>0.23999999999999988</v>
      </c>
      <c r="U30" s="127">
        <f t="shared" si="3"/>
        <v>0.21999999999999997</v>
      </c>
      <c r="V30" s="127">
        <f t="shared" si="3"/>
        <v>0.17000000000000015</v>
      </c>
      <c r="W30" s="127">
        <f t="shared" si="3"/>
        <v>0.20999999999999996</v>
      </c>
    </row>
    <row r="31" spans="1:23" ht="12.75">
      <c r="A31" s="130" t="s">
        <v>10</v>
      </c>
      <c r="B31" s="131">
        <v>49</v>
      </c>
      <c r="C31" s="125">
        <v>53</v>
      </c>
      <c r="D31" s="125">
        <v>46</v>
      </c>
      <c r="E31" s="125">
        <v>54</v>
      </c>
      <c r="F31" s="125">
        <v>47</v>
      </c>
      <c r="G31" s="129">
        <v>54</v>
      </c>
      <c r="H31" s="125"/>
      <c r="I31" s="130" t="s">
        <v>10</v>
      </c>
      <c r="J31" s="131">
        <v>58</v>
      </c>
      <c r="K31" s="125">
        <v>60</v>
      </c>
      <c r="L31" s="125">
        <v>54</v>
      </c>
      <c r="M31" s="125">
        <v>61</v>
      </c>
      <c r="N31" s="125">
        <v>53</v>
      </c>
      <c r="O31" s="129">
        <v>62</v>
      </c>
      <c r="Q31" s="128" t="str">
        <f t="shared" si="2"/>
        <v>D/%</v>
      </c>
      <c r="R31" s="127">
        <f t="shared" si="3"/>
        <v>-9</v>
      </c>
      <c r="S31" s="127">
        <f t="shared" si="3"/>
        <v>-7</v>
      </c>
      <c r="T31" s="127">
        <f t="shared" si="3"/>
        <v>-8</v>
      </c>
      <c r="U31" s="127">
        <f t="shared" si="3"/>
        <v>-7</v>
      </c>
      <c r="V31" s="127">
        <f t="shared" si="3"/>
        <v>-6</v>
      </c>
      <c r="W31" s="127">
        <f t="shared" si="3"/>
        <v>-8</v>
      </c>
    </row>
    <row r="32" spans="1:23" ht="12.75">
      <c r="A32" s="130" t="s">
        <v>11</v>
      </c>
      <c r="B32" s="131">
        <v>2.6</v>
      </c>
      <c r="C32" s="125">
        <v>3.1</v>
      </c>
      <c r="D32" s="125">
        <v>2.1</v>
      </c>
      <c r="E32" s="125">
        <v>3.4</v>
      </c>
      <c r="F32" s="125">
        <v>2.2</v>
      </c>
      <c r="G32" s="129">
        <v>3.5</v>
      </c>
      <c r="H32" s="125"/>
      <c r="I32" s="130" t="s">
        <v>11</v>
      </c>
      <c r="J32" s="131">
        <v>4.3</v>
      </c>
      <c r="K32" s="125">
        <v>4.5</v>
      </c>
      <c r="L32" s="125">
        <v>3.7</v>
      </c>
      <c r="M32" s="125">
        <v>5</v>
      </c>
      <c r="N32" s="125">
        <v>3.5</v>
      </c>
      <c r="O32" s="129">
        <v>5</v>
      </c>
      <c r="Q32" s="128" t="str">
        <f t="shared" si="2"/>
        <v>C/dB</v>
      </c>
      <c r="R32" s="127">
        <f t="shared" si="3"/>
        <v>-1.6999999999999997</v>
      </c>
      <c r="S32" s="127">
        <f t="shared" si="3"/>
        <v>-1.4</v>
      </c>
      <c r="T32" s="127">
        <f t="shared" si="3"/>
        <v>-1.6</v>
      </c>
      <c r="U32" s="127">
        <f t="shared" si="3"/>
        <v>-1.6</v>
      </c>
      <c r="V32" s="127">
        <f t="shared" si="3"/>
        <v>-1.2999999999999998</v>
      </c>
      <c r="W32" s="127">
        <f t="shared" si="3"/>
        <v>-1.5</v>
      </c>
    </row>
    <row r="33" spans="1:23" ht="12.75">
      <c r="A33" s="130" t="s">
        <v>12</v>
      </c>
      <c r="B33" s="131">
        <v>78</v>
      </c>
      <c r="C33" s="125">
        <v>73</v>
      </c>
      <c r="D33" s="125">
        <v>83</v>
      </c>
      <c r="E33" s="125">
        <v>70</v>
      </c>
      <c r="F33" s="125">
        <v>81</v>
      </c>
      <c r="G33" s="129">
        <v>70</v>
      </c>
      <c r="H33" s="125"/>
      <c r="I33" s="130" t="s">
        <v>12</v>
      </c>
      <c r="J33" s="131">
        <v>61</v>
      </c>
      <c r="K33" s="125">
        <v>58</v>
      </c>
      <c r="L33" s="125">
        <v>66</v>
      </c>
      <c r="M33" s="125">
        <v>55</v>
      </c>
      <c r="N33" s="125">
        <v>67</v>
      </c>
      <c r="O33" s="129">
        <v>55</v>
      </c>
      <c r="Q33" s="128" t="str">
        <f t="shared" si="2"/>
        <v>TS/ms</v>
      </c>
      <c r="R33" s="127">
        <f t="shared" si="3"/>
        <v>17</v>
      </c>
      <c r="S33" s="127">
        <f t="shared" si="3"/>
        <v>15</v>
      </c>
      <c r="T33" s="127">
        <f t="shared" si="3"/>
        <v>17</v>
      </c>
      <c r="U33" s="127">
        <f t="shared" si="3"/>
        <v>15</v>
      </c>
      <c r="V33" s="127">
        <f t="shared" si="3"/>
        <v>14</v>
      </c>
      <c r="W33" s="127">
        <f t="shared" si="3"/>
        <v>15</v>
      </c>
    </row>
    <row r="34" spans="1:23" ht="12.75">
      <c r="A34" s="130" t="s">
        <v>13</v>
      </c>
      <c r="B34" s="131">
        <v>20</v>
      </c>
      <c r="C34" s="125">
        <v>20</v>
      </c>
      <c r="D34" s="125">
        <v>19</v>
      </c>
      <c r="E34" s="125">
        <v>20</v>
      </c>
      <c r="F34" s="125">
        <v>20</v>
      </c>
      <c r="G34" s="129">
        <v>21</v>
      </c>
      <c r="H34" s="125"/>
      <c r="I34" s="130" t="s">
        <v>13</v>
      </c>
      <c r="J34" s="131">
        <v>19</v>
      </c>
      <c r="K34" s="125">
        <v>20</v>
      </c>
      <c r="L34" s="125">
        <v>19</v>
      </c>
      <c r="M34" s="125">
        <v>20</v>
      </c>
      <c r="N34" s="125">
        <v>19</v>
      </c>
      <c r="O34" s="129">
        <v>20</v>
      </c>
      <c r="Q34" s="128" t="str">
        <f t="shared" si="2"/>
        <v>G/dB</v>
      </c>
      <c r="R34" s="127">
        <f t="shared" si="3"/>
        <v>1</v>
      </c>
      <c r="S34" s="127">
        <f t="shared" si="3"/>
        <v>0</v>
      </c>
      <c r="T34" s="127">
        <f t="shared" si="3"/>
        <v>0</v>
      </c>
      <c r="U34" s="127">
        <f t="shared" si="3"/>
        <v>0</v>
      </c>
      <c r="V34" s="127">
        <f t="shared" si="3"/>
        <v>1</v>
      </c>
      <c r="W34" s="127">
        <f t="shared" si="3"/>
        <v>1</v>
      </c>
    </row>
    <row r="35" spans="1:23" ht="12.75">
      <c r="A35" s="130" t="s">
        <v>14</v>
      </c>
      <c r="B35" s="131">
        <v>28</v>
      </c>
      <c r="C35" s="125">
        <v>22</v>
      </c>
      <c r="D35" s="125">
        <v>28</v>
      </c>
      <c r="E35" s="125">
        <v>24</v>
      </c>
      <c r="F35" s="125">
        <v>28</v>
      </c>
      <c r="G35" s="129">
        <v>26</v>
      </c>
      <c r="H35" s="125"/>
      <c r="I35" s="130" t="s">
        <v>14</v>
      </c>
      <c r="J35" s="131">
        <v>25</v>
      </c>
      <c r="K35" s="125">
        <v>20</v>
      </c>
      <c r="L35" s="125">
        <v>27</v>
      </c>
      <c r="M35" s="125">
        <v>21</v>
      </c>
      <c r="N35" s="125">
        <v>27</v>
      </c>
      <c r="O35" s="129">
        <v>26</v>
      </c>
      <c r="Q35" s="128" t="str">
        <f t="shared" si="2"/>
        <v>LF/%</v>
      </c>
      <c r="R35" s="127">
        <f t="shared" si="3"/>
        <v>3</v>
      </c>
      <c r="S35" s="127">
        <f t="shared" si="3"/>
        <v>2</v>
      </c>
      <c r="T35" s="127">
        <f t="shared" si="3"/>
        <v>1</v>
      </c>
      <c r="U35" s="127">
        <f t="shared" si="3"/>
        <v>3</v>
      </c>
      <c r="V35" s="127">
        <f t="shared" si="3"/>
        <v>1</v>
      </c>
      <c r="W35" s="127">
        <f t="shared" si="3"/>
        <v>0</v>
      </c>
    </row>
    <row r="36" spans="1:23" ht="12.75">
      <c r="A36" s="130" t="s">
        <v>15</v>
      </c>
      <c r="B36" s="131">
        <v>40</v>
      </c>
      <c r="C36" s="125">
        <v>33</v>
      </c>
      <c r="D36" s="125">
        <v>42</v>
      </c>
      <c r="E36" s="125">
        <v>35</v>
      </c>
      <c r="F36" s="125">
        <v>41</v>
      </c>
      <c r="G36" s="129">
        <v>38</v>
      </c>
      <c r="H36" s="125"/>
      <c r="I36" s="130" t="s">
        <v>15</v>
      </c>
      <c r="J36" s="131">
        <v>37</v>
      </c>
      <c r="K36" s="125">
        <v>31</v>
      </c>
      <c r="L36" s="125">
        <v>41</v>
      </c>
      <c r="M36" s="125">
        <v>32</v>
      </c>
      <c r="N36" s="125">
        <v>40</v>
      </c>
      <c r="O36" s="129">
        <v>38</v>
      </c>
      <c r="Q36" s="128" t="str">
        <f t="shared" si="2"/>
        <v>LFC/%</v>
      </c>
      <c r="R36" s="127">
        <f t="shared" si="3"/>
        <v>3</v>
      </c>
      <c r="S36" s="127">
        <f t="shared" si="3"/>
        <v>2</v>
      </c>
      <c r="T36" s="127">
        <f t="shared" si="3"/>
        <v>1</v>
      </c>
      <c r="U36" s="127">
        <f t="shared" si="3"/>
        <v>3</v>
      </c>
      <c r="V36" s="127">
        <f t="shared" si="3"/>
        <v>1</v>
      </c>
      <c r="W36" s="127">
        <f t="shared" si="3"/>
        <v>0</v>
      </c>
    </row>
    <row r="37" spans="1:23" ht="12.75">
      <c r="A37" s="134" t="s">
        <v>16</v>
      </c>
      <c r="B37" s="135"/>
      <c r="C37" s="132"/>
      <c r="D37" s="132"/>
      <c r="E37" s="132"/>
      <c r="F37" s="132"/>
      <c r="G37" s="133"/>
      <c r="H37" s="125"/>
      <c r="I37" s="134" t="s">
        <v>16</v>
      </c>
      <c r="J37" s="135"/>
      <c r="K37" s="132"/>
      <c r="L37" s="132"/>
      <c r="M37" s="132"/>
      <c r="N37" s="132"/>
      <c r="O37" s="133"/>
      <c r="Q37" s="128" t="str">
        <f t="shared" si="2"/>
        <v>IACC</v>
      </c>
      <c r="R37" s="127">
        <f t="shared" si="3"/>
        <v>0</v>
      </c>
      <c r="S37" s="127">
        <f t="shared" si="3"/>
        <v>0</v>
      </c>
      <c r="T37" s="127">
        <f t="shared" si="3"/>
        <v>0</v>
      </c>
      <c r="U37" s="127">
        <f t="shared" si="3"/>
        <v>0</v>
      </c>
      <c r="V37" s="127">
        <f t="shared" si="3"/>
        <v>0</v>
      </c>
      <c r="W37" s="127">
        <f t="shared" si="3"/>
        <v>0</v>
      </c>
    </row>
    <row r="38" spans="5:15" ht="12.75">
      <c r="E38" s="136"/>
      <c r="F38" s="136"/>
      <c r="G38" s="136"/>
      <c r="H38" s="136"/>
      <c r="M38" s="136"/>
      <c r="N38" s="136"/>
      <c r="O38" s="136"/>
    </row>
    <row r="39" spans="1:18" ht="12.75">
      <c r="A39" s="155" t="s">
        <v>18</v>
      </c>
      <c r="B39" s="156" t="s">
        <v>1</v>
      </c>
      <c r="E39" s="136"/>
      <c r="F39" s="136"/>
      <c r="G39" s="136"/>
      <c r="H39" s="136"/>
      <c r="I39" s="155" t="s">
        <v>18</v>
      </c>
      <c r="J39" s="156" t="s">
        <v>1</v>
      </c>
      <c r="M39" s="136"/>
      <c r="N39" s="136"/>
      <c r="O39" s="136"/>
      <c r="Q39" s="128" t="str">
        <f>+A39</f>
        <v>500 Hz</v>
      </c>
      <c r="R39" s="128" t="str">
        <f>+B39</f>
        <v>octave</v>
      </c>
    </row>
    <row r="40" spans="1:23" ht="12.75">
      <c r="A40" s="142"/>
      <c r="B40" s="140" t="s">
        <v>2</v>
      </c>
      <c r="C40" s="140" t="s">
        <v>3</v>
      </c>
      <c r="D40" s="139" t="s">
        <v>4</v>
      </c>
      <c r="E40" s="139" t="s">
        <v>5</v>
      </c>
      <c r="F40" s="140" t="s">
        <v>6</v>
      </c>
      <c r="G40" s="139" t="s">
        <v>7</v>
      </c>
      <c r="H40" s="141"/>
      <c r="I40" s="142"/>
      <c r="J40" s="140" t="s">
        <v>2</v>
      </c>
      <c r="K40" s="140" t="s">
        <v>3</v>
      </c>
      <c r="L40" s="139" t="s">
        <v>4</v>
      </c>
      <c r="M40" s="139" t="s">
        <v>5</v>
      </c>
      <c r="N40" s="140" t="s">
        <v>6</v>
      </c>
      <c r="O40" s="139" t="s">
        <v>7</v>
      </c>
      <c r="Q40" s="128">
        <f>+A40</f>
        <v>0</v>
      </c>
      <c r="R40" s="128" t="str">
        <f>+B40</f>
        <v>S1R1</v>
      </c>
      <c r="S40" s="128" t="str">
        <f>+C40</f>
        <v>S1R2</v>
      </c>
      <c r="T40" s="128" t="str">
        <f>+D40</f>
        <v>S1R3</v>
      </c>
      <c r="U40" s="128" t="str">
        <f>+E40</f>
        <v>S2R1</v>
      </c>
      <c r="V40" s="128" t="str">
        <f>+F40</f>
        <v>S2R2</v>
      </c>
      <c r="W40" s="128" t="str">
        <f>+G40</f>
        <v>S2R3</v>
      </c>
    </row>
    <row r="41" spans="1:23" ht="12.75">
      <c r="A41" s="130" t="s">
        <v>8</v>
      </c>
      <c r="B41" s="145">
        <v>1.15</v>
      </c>
      <c r="C41" s="143">
        <v>1.16</v>
      </c>
      <c r="D41" s="143">
        <v>1.17</v>
      </c>
      <c r="E41" s="125">
        <v>1.14</v>
      </c>
      <c r="F41" s="143">
        <v>1.18</v>
      </c>
      <c r="G41" s="144">
        <v>1.16</v>
      </c>
      <c r="H41" s="125"/>
      <c r="I41" s="130" t="s">
        <v>8</v>
      </c>
      <c r="J41" s="145">
        <v>0.9</v>
      </c>
      <c r="K41" s="143">
        <v>0.92</v>
      </c>
      <c r="L41" s="143">
        <v>0.91</v>
      </c>
      <c r="M41" s="125">
        <v>0.91</v>
      </c>
      <c r="N41" s="143">
        <v>0.92</v>
      </c>
      <c r="O41" s="144">
        <v>0.91</v>
      </c>
      <c r="Q41" s="128" t="str">
        <f aca="true" t="shared" si="4" ref="Q41:Q49">+A41</f>
        <v>T30/s</v>
      </c>
      <c r="R41" s="127">
        <f aca="true" t="shared" si="5" ref="R41:W49">+B41-J41</f>
        <v>0.2499999999999999</v>
      </c>
      <c r="S41" s="127">
        <f t="shared" si="5"/>
        <v>0.23999999999999988</v>
      </c>
      <c r="T41" s="127">
        <f t="shared" si="5"/>
        <v>0.2599999999999999</v>
      </c>
      <c r="U41" s="127">
        <f t="shared" si="5"/>
        <v>0.22999999999999987</v>
      </c>
      <c r="V41" s="127">
        <f t="shared" si="5"/>
        <v>0.2599999999999999</v>
      </c>
      <c r="W41" s="127">
        <f t="shared" si="5"/>
        <v>0.2499999999999999</v>
      </c>
    </row>
    <row r="42" spans="1:23" ht="12.75">
      <c r="A42" s="130" t="s">
        <v>9</v>
      </c>
      <c r="B42" s="131">
        <v>1.12</v>
      </c>
      <c r="C42" s="125">
        <v>1.03</v>
      </c>
      <c r="D42" s="125">
        <v>1.14</v>
      </c>
      <c r="E42" s="125">
        <v>0.99</v>
      </c>
      <c r="F42" s="125">
        <v>1.14</v>
      </c>
      <c r="G42" s="129">
        <v>0.99</v>
      </c>
      <c r="H42" s="125"/>
      <c r="I42" s="130" t="s">
        <v>9</v>
      </c>
      <c r="J42" s="131">
        <v>0.85</v>
      </c>
      <c r="K42" s="125">
        <v>0.83</v>
      </c>
      <c r="L42" s="125">
        <v>0.89</v>
      </c>
      <c r="M42" s="125">
        <v>0.77</v>
      </c>
      <c r="N42" s="125">
        <v>0.9</v>
      </c>
      <c r="O42" s="129">
        <v>0.79</v>
      </c>
      <c r="Q42" s="128" t="str">
        <f t="shared" si="4"/>
        <v>EDT/s</v>
      </c>
      <c r="R42" s="127">
        <f t="shared" si="5"/>
        <v>0.27000000000000013</v>
      </c>
      <c r="S42" s="127">
        <f t="shared" si="5"/>
        <v>0.20000000000000007</v>
      </c>
      <c r="T42" s="127">
        <f t="shared" si="5"/>
        <v>0.2499999999999999</v>
      </c>
      <c r="U42" s="127">
        <f t="shared" si="5"/>
        <v>0.21999999999999997</v>
      </c>
      <c r="V42" s="127">
        <f t="shared" si="5"/>
        <v>0.23999999999999988</v>
      </c>
      <c r="W42" s="127">
        <f t="shared" si="5"/>
        <v>0.19999999999999996</v>
      </c>
    </row>
    <row r="43" spans="1:23" ht="12.75">
      <c r="A43" s="130" t="s">
        <v>10</v>
      </c>
      <c r="B43" s="131">
        <v>48</v>
      </c>
      <c r="C43" s="125">
        <v>53</v>
      </c>
      <c r="D43" s="125">
        <v>46</v>
      </c>
      <c r="E43" s="125">
        <v>55</v>
      </c>
      <c r="F43" s="125">
        <v>47</v>
      </c>
      <c r="G43" s="129">
        <v>55</v>
      </c>
      <c r="H43" s="125"/>
      <c r="I43" s="130" t="s">
        <v>10</v>
      </c>
      <c r="J43" s="131">
        <v>58</v>
      </c>
      <c r="K43" s="125">
        <v>60</v>
      </c>
      <c r="L43" s="125">
        <v>56</v>
      </c>
      <c r="M43" s="125">
        <v>62</v>
      </c>
      <c r="N43" s="125">
        <v>55</v>
      </c>
      <c r="O43" s="129">
        <v>63</v>
      </c>
      <c r="Q43" s="128" t="str">
        <f t="shared" si="4"/>
        <v>D/%</v>
      </c>
      <c r="R43" s="127">
        <f t="shared" si="5"/>
        <v>-10</v>
      </c>
      <c r="S43" s="127">
        <f t="shared" si="5"/>
        <v>-7</v>
      </c>
      <c r="T43" s="127">
        <f t="shared" si="5"/>
        <v>-10</v>
      </c>
      <c r="U43" s="127">
        <f t="shared" si="5"/>
        <v>-7</v>
      </c>
      <c r="V43" s="127">
        <f t="shared" si="5"/>
        <v>-8</v>
      </c>
      <c r="W43" s="127">
        <f t="shared" si="5"/>
        <v>-8</v>
      </c>
    </row>
    <row r="44" spans="1:23" ht="12.75">
      <c r="A44" s="130" t="s">
        <v>11</v>
      </c>
      <c r="B44" s="131">
        <v>2.4</v>
      </c>
      <c r="C44" s="125">
        <v>3.1</v>
      </c>
      <c r="D44" s="125">
        <v>2.2</v>
      </c>
      <c r="E44" s="125">
        <v>3.6</v>
      </c>
      <c r="F44" s="125">
        <v>2.1</v>
      </c>
      <c r="G44" s="129">
        <v>3.4</v>
      </c>
      <c r="H44" s="125"/>
      <c r="I44" s="130" t="s">
        <v>11</v>
      </c>
      <c r="J44" s="131">
        <v>4.4</v>
      </c>
      <c r="K44" s="125">
        <v>4.6</v>
      </c>
      <c r="L44" s="125">
        <v>3.9</v>
      </c>
      <c r="M44" s="125">
        <v>5.3</v>
      </c>
      <c r="N44" s="125">
        <v>3.9</v>
      </c>
      <c r="O44" s="129">
        <v>5</v>
      </c>
      <c r="Q44" s="128" t="str">
        <f t="shared" si="4"/>
        <v>C/dB</v>
      </c>
      <c r="R44" s="127">
        <f t="shared" si="5"/>
        <v>-2.0000000000000004</v>
      </c>
      <c r="S44" s="127">
        <f t="shared" si="5"/>
        <v>-1.4999999999999996</v>
      </c>
      <c r="T44" s="127">
        <f t="shared" si="5"/>
        <v>-1.6999999999999997</v>
      </c>
      <c r="U44" s="127">
        <f t="shared" si="5"/>
        <v>-1.6999999999999997</v>
      </c>
      <c r="V44" s="127">
        <f t="shared" si="5"/>
        <v>-1.7999999999999998</v>
      </c>
      <c r="W44" s="127">
        <f t="shared" si="5"/>
        <v>-1.6</v>
      </c>
    </row>
    <row r="45" spans="1:23" ht="12.75">
      <c r="A45" s="130" t="s">
        <v>12</v>
      </c>
      <c r="B45" s="131">
        <v>79</v>
      </c>
      <c r="C45" s="125">
        <v>71</v>
      </c>
      <c r="D45" s="125">
        <v>82</v>
      </c>
      <c r="E45" s="125">
        <v>68</v>
      </c>
      <c r="F45" s="125">
        <v>82</v>
      </c>
      <c r="G45" s="129">
        <v>69</v>
      </c>
      <c r="H45" s="125"/>
      <c r="I45" s="130" t="s">
        <v>12</v>
      </c>
      <c r="J45" s="131">
        <v>60</v>
      </c>
      <c r="K45" s="125">
        <v>57</v>
      </c>
      <c r="L45" s="125">
        <v>64</v>
      </c>
      <c r="M45" s="125">
        <v>53</v>
      </c>
      <c r="N45" s="125">
        <v>64</v>
      </c>
      <c r="O45" s="129">
        <v>54</v>
      </c>
      <c r="Q45" s="128" t="str">
        <f t="shared" si="4"/>
        <v>TS/ms</v>
      </c>
      <c r="R45" s="127">
        <f t="shared" si="5"/>
        <v>19</v>
      </c>
      <c r="S45" s="127">
        <f t="shared" si="5"/>
        <v>14</v>
      </c>
      <c r="T45" s="127">
        <f t="shared" si="5"/>
        <v>18</v>
      </c>
      <c r="U45" s="127">
        <f t="shared" si="5"/>
        <v>15</v>
      </c>
      <c r="V45" s="127">
        <f t="shared" si="5"/>
        <v>18</v>
      </c>
      <c r="W45" s="127">
        <f t="shared" si="5"/>
        <v>15</v>
      </c>
    </row>
    <row r="46" spans="1:23" ht="12.75">
      <c r="A46" s="130" t="s">
        <v>13</v>
      </c>
      <c r="B46" s="131">
        <v>20</v>
      </c>
      <c r="C46" s="125">
        <v>20</v>
      </c>
      <c r="D46" s="125">
        <v>19</v>
      </c>
      <c r="E46" s="125">
        <v>20</v>
      </c>
      <c r="F46" s="125">
        <v>20</v>
      </c>
      <c r="G46" s="129">
        <v>21</v>
      </c>
      <c r="H46" s="125"/>
      <c r="I46" s="130" t="s">
        <v>13</v>
      </c>
      <c r="J46" s="131">
        <v>19</v>
      </c>
      <c r="K46" s="125">
        <v>20</v>
      </c>
      <c r="L46" s="125">
        <v>19</v>
      </c>
      <c r="M46" s="125">
        <v>20</v>
      </c>
      <c r="N46" s="125">
        <v>19</v>
      </c>
      <c r="O46" s="129">
        <v>20</v>
      </c>
      <c r="Q46" s="128" t="str">
        <f t="shared" si="4"/>
        <v>G/dB</v>
      </c>
      <c r="R46" s="127">
        <f t="shared" si="5"/>
        <v>1</v>
      </c>
      <c r="S46" s="127">
        <f t="shared" si="5"/>
        <v>0</v>
      </c>
      <c r="T46" s="127">
        <f t="shared" si="5"/>
        <v>0</v>
      </c>
      <c r="U46" s="127">
        <f t="shared" si="5"/>
        <v>0</v>
      </c>
      <c r="V46" s="127">
        <f t="shared" si="5"/>
        <v>1</v>
      </c>
      <c r="W46" s="127">
        <f t="shared" si="5"/>
        <v>1</v>
      </c>
    </row>
    <row r="47" spans="1:23" ht="12.75">
      <c r="A47" s="130" t="s">
        <v>14</v>
      </c>
      <c r="B47" s="131">
        <v>28</v>
      </c>
      <c r="C47" s="125">
        <v>23</v>
      </c>
      <c r="D47" s="125">
        <v>27</v>
      </c>
      <c r="E47" s="125">
        <v>25</v>
      </c>
      <c r="F47" s="125">
        <v>27</v>
      </c>
      <c r="G47" s="129">
        <v>26</v>
      </c>
      <c r="H47" s="125"/>
      <c r="I47" s="130" t="s">
        <v>14</v>
      </c>
      <c r="J47" s="131">
        <v>25</v>
      </c>
      <c r="K47" s="125">
        <v>21</v>
      </c>
      <c r="L47" s="125">
        <v>28</v>
      </c>
      <c r="M47" s="125">
        <v>22</v>
      </c>
      <c r="N47" s="125">
        <v>26</v>
      </c>
      <c r="O47" s="129">
        <v>25</v>
      </c>
      <c r="Q47" s="128" t="str">
        <f t="shared" si="4"/>
        <v>LF/%</v>
      </c>
      <c r="R47" s="127">
        <f t="shared" si="5"/>
        <v>3</v>
      </c>
      <c r="S47" s="127">
        <f t="shared" si="5"/>
        <v>2</v>
      </c>
      <c r="T47" s="127">
        <f t="shared" si="5"/>
        <v>-1</v>
      </c>
      <c r="U47" s="127">
        <f t="shared" si="5"/>
        <v>3</v>
      </c>
      <c r="V47" s="127">
        <f t="shared" si="5"/>
        <v>1</v>
      </c>
      <c r="W47" s="127">
        <f t="shared" si="5"/>
        <v>1</v>
      </c>
    </row>
    <row r="48" spans="1:23" ht="12.75">
      <c r="A48" s="130" t="s">
        <v>15</v>
      </c>
      <c r="B48" s="131">
        <v>40</v>
      </c>
      <c r="C48" s="125">
        <v>34</v>
      </c>
      <c r="D48" s="125">
        <v>41</v>
      </c>
      <c r="E48" s="125">
        <v>36</v>
      </c>
      <c r="F48" s="125">
        <v>40</v>
      </c>
      <c r="G48" s="129">
        <v>37</v>
      </c>
      <c r="H48" s="125"/>
      <c r="I48" s="130" t="s">
        <v>15</v>
      </c>
      <c r="J48" s="131">
        <v>36</v>
      </c>
      <c r="K48" s="125">
        <v>32</v>
      </c>
      <c r="L48" s="125">
        <v>41</v>
      </c>
      <c r="M48" s="125">
        <v>33</v>
      </c>
      <c r="N48" s="125">
        <v>38</v>
      </c>
      <c r="O48" s="129">
        <v>37</v>
      </c>
      <c r="Q48" s="128" t="str">
        <f t="shared" si="4"/>
        <v>LFC/%</v>
      </c>
      <c r="R48" s="127">
        <f t="shared" si="5"/>
        <v>4</v>
      </c>
      <c r="S48" s="127">
        <f t="shared" si="5"/>
        <v>2</v>
      </c>
      <c r="T48" s="127">
        <f t="shared" si="5"/>
        <v>0</v>
      </c>
      <c r="U48" s="127">
        <f t="shared" si="5"/>
        <v>3</v>
      </c>
      <c r="V48" s="127">
        <f t="shared" si="5"/>
        <v>2</v>
      </c>
      <c r="W48" s="127">
        <f t="shared" si="5"/>
        <v>0</v>
      </c>
    </row>
    <row r="49" spans="1:23" ht="12.75">
      <c r="A49" s="134" t="s">
        <v>16</v>
      </c>
      <c r="B49" s="135"/>
      <c r="C49" s="132"/>
      <c r="D49" s="132"/>
      <c r="E49" s="132"/>
      <c r="F49" s="132"/>
      <c r="G49" s="133"/>
      <c r="H49" s="125"/>
      <c r="I49" s="134" t="s">
        <v>16</v>
      </c>
      <c r="J49" s="135"/>
      <c r="K49" s="132"/>
      <c r="L49" s="132"/>
      <c r="M49" s="132"/>
      <c r="N49" s="132"/>
      <c r="O49" s="133"/>
      <c r="Q49" s="128" t="str">
        <f t="shared" si="4"/>
        <v>IACC</v>
      </c>
      <c r="R49" s="127">
        <f t="shared" si="5"/>
        <v>0</v>
      </c>
      <c r="S49" s="127">
        <f t="shared" si="5"/>
        <v>0</v>
      </c>
      <c r="T49" s="127">
        <f t="shared" si="5"/>
        <v>0</v>
      </c>
      <c r="U49" s="127">
        <f t="shared" si="5"/>
        <v>0</v>
      </c>
      <c r="V49" s="127">
        <f t="shared" si="5"/>
        <v>0</v>
      </c>
      <c r="W49" s="127">
        <f t="shared" si="5"/>
        <v>0</v>
      </c>
    </row>
    <row r="50" spans="5:23" ht="12.75">
      <c r="E50" s="136"/>
      <c r="F50" s="136"/>
      <c r="G50" s="136"/>
      <c r="H50" s="136"/>
      <c r="M50" s="136"/>
      <c r="N50" s="136"/>
      <c r="O50" s="136"/>
      <c r="R50" s="127"/>
      <c r="S50" s="127"/>
      <c r="T50" s="127"/>
      <c r="U50" s="127"/>
      <c r="V50" s="127"/>
      <c r="W50" s="127"/>
    </row>
    <row r="51" spans="1:18" ht="12.75">
      <c r="A51" s="155" t="s">
        <v>19</v>
      </c>
      <c r="B51" s="156" t="s">
        <v>1</v>
      </c>
      <c r="E51" s="136"/>
      <c r="F51" s="136"/>
      <c r="G51" s="136"/>
      <c r="H51" s="136"/>
      <c r="I51" s="155" t="s">
        <v>19</v>
      </c>
      <c r="J51" s="156" t="s">
        <v>1</v>
      </c>
      <c r="M51" s="136"/>
      <c r="N51" s="136"/>
      <c r="O51" s="136"/>
      <c r="Q51" s="128" t="str">
        <f>+A51</f>
        <v>1000 Hz</v>
      </c>
      <c r="R51" s="128" t="str">
        <f>+B51</f>
        <v>octave</v>
      </c>
    </row>
    <row r="52" spans="1:23" ht="12.75">
      <c r="A52" s="142"/>
      <c r="B52" s="140" t="s">
        <v>2</v>
      </c>
      <c r="C52" s="140" t="s">
        <v>3</v>
      </c>
      <c r="D52" s="139" t="s">
        <v>4</v>
      </c>
      <c r="E52" s="139" t="s">
        <v>5</v>
      </c>
      <c r="F52" s="140" t="s">
        <v>6</v>
      </c>
      <c r="G52" s="139" t="s">
        <v>7</v>
      </c>
      <c r="H52" s="141"/>
      <c r="I52" s="142"/>
      <c r="J52" s="140" t="s">
        <v>2</v>
      </c>
      <c r="K52" s="140" t="s">
        <v>3</v>
      </c>
      <c r="L52" s="139" t="s">
        <v>4</v>
      </c>
      <c r="M52" s="139" t="s">
        <v>5</v>
      </c>
      <c r="N52" s="140" t="s">
        <v>6</v>
      </c>
      <c r="O52" s="139" t="s">
        <v>7</v>
      </c>
      <c r="Q52" s="128">
        <f>+A52</f>
        <v>0</v>
      </c>
      <c r="R52" s="128" t="str">
        <f>+B52</f>
        <v>S1R1</v>
      </c>
      <c r="S52" s="128" t="str">
        <f>+C52</f>
        <v>S1R2</v>
      </c>
      <c r="T52" s="128" t="str">
        <f>+D52</f>
        <v>S1R3</v>
      </c>
      <c r="U52" s="128" t="str">
        <f>+E52</f>
        <v>S2R1</v>
      </c>
      <c r="V52" s="128" t="str">
        <f>+F52</f>
        <v>S2R2</v>
      </c>
      <c r="W52" s="128" t="str">
        <f>+G52</f>
        <v>S2R3</v>
      </c>
    </row>
    <row r="53" spans="1:23" ht="12.75">
      <c r="A53" s="130" t="s">
        <v>8</v>
      </c>
      <c r="B53" s="145">
        <v>1.04</v>
      </c>
      <c r="C53" s="143">
        <v>1.04</v>
      </c>
      <c r="D53" s="143">
        <v>1.02</v>
      </c>
      <c r="E53" s="125">
        <v>1.02</v>
      </c>
      <c r="F53" s="143">
        <v>1.01</v>
      </c>
      <c r="G53" s="144">
        <v>1.04</v>
      </c>
      <c r="H53" s="125"/>
      <c r="I53" s="130" t="s">
        <v>8</v>
      </c>
      <c r="J53" s="145">
        <v>0.8</v>
      </c>
      <c r="K53" s="143">
        <v>0.8</v>
      </c>
      <c r="L53" s="143">
        <v>0.79</v>
      </c>
      <c r="M53" s="125">
        <v>0.79</v>
      </c>
      <c r="N53" s="143">
        <v>0.78</v>
      </c>
      <c r="O53" s="144">
        <v>0.78</v>
      </c>
      <c r="Q53" s="128" t="str">
        <f aca="true" t="shared" si="6" ref="Q53:Q61">+A53</f>
        <v>T30/s</v>
      </c>
      <c r="R53" s="127">
        <f aca="true" t="shared" si="7" ref="R53:W61">+B53-J53</f>
        <v>0.24</v>
      </c>
      <c r="S53" s="127">
        <f t="shared" si="7"/>
        <v>0.24</v>
      </c>
      <c r="T53" s="127">
        <f t="shared" si="7"/>
        <v>0.22999999999999998</v>
      </c>
      <c r="U53" s="127">
        <f t="shared" si="7"/>
        <v>0.22999999999999998</v>
      </c>
      <c r="V53" s="127">
        <f t="shared" si="7"/>
        <v>0.22999999999999998</v>
      </c>
      <c r="W53" s="127">
        <f t="shared" si="7"/>
        <v>0.26</v>
      </c>
    </row>
    <row r="54" spans="1:23" ht="12.75">
      <c r="A54" s="130" t="s">
        <v>9</v>
      </c>
      <c r="B54" s="131">
        <v>0.97</v>
      </c>
      <c r="C54" s="125">
        <v>0.91</v>
      </c>
      <c r="D54" s="125">
        <v>0.98</v>
      </c>
      <c r="E54" s="125">
        <v>0.86</v>
      </c>
      <c r="F54" s="125">
        <v>0.97</v>
      </c>
      <c r="G54" s="129">
        <v>0.86</v>
      </c>
      <c r="H54" s="125"/>
      <c r="I54" s="130" t="s">
        <v>9</v>
      </c>
      <c r="J54" s="131">
        <v>0.71</v>
      </c>
      <c r="K54" s="125">
        <v>0.7</v>
      </c>
      <c r="L54" s="125">
        <v>0.75</v>
      </c>
      <c r="M54" s="125">
        <v>0.64</v>
      </c>
      <c r="N54" s="125">
        <v>0.8</v>
      </c>
      <c r="O54" s="129">
        <v>0.67</v>
      </c>
      <c r="Q54" s="128" t="str">
        <f t="shared" si="6"/>
        <v>EDT/s</v>
      </c>
      <c r="R54" s="127">
        <f t="shared" si="7"/>
        <v>0.26</v>
      </c>
      <c r="S54" s="127">
        <f t="shared" si="7"/>
        <v>0.21000000000000008</v>
      </c>
      <c r="T54" s="127">
        <f t="shared" si="7"/>
        <v>0.22999999999999998</v>
      </c>
      <c r="U54" s="127">
        <f t="shared" si="7"/>
        <v>0.21999999999999997</v>
      </c>
      <c r="V54" s="127">
        <f t="shared" si="7"/>
        <v>0.16999999999999993</v>
      </c>
      <c r="W54" s="127">
        <f t="shared" si="7"/>
        <v>0.18999999999999995</v>
      </c>
    </row>
    <row r="55" spans="1:23" ht="12.75">
      <c r="A55" s="130" t="s">
        <v>10</v>
      </c>
      <c r="B55" s="131">
        <v>54</v>
      </c>
      <c r="C55" s="125">
        <v>57</v>
      </c>
      <c r="D55" s="125">
        <v>52</v>
      </c>
      <c r="E55" s="125">
        <v>59</v>
      </c>
      <c r="F55" s="125">
        <v>52</v>
      </c>
      <c r="G55" s="129">
        <v>60</v>
      </c>
      <c r="H55" s="125"/>
      <c r="I55" s="130" t="s">
        <v>10</v>
      </c>
      <c r="J55" s="131">
        <v>64</v>
      </c>
      <c r="K55" s="125">
        <v>66</v>
      </c>
      <c r="L55" s="125">
        <v>62</v>
      </c>
      <c r="M55" s="125">
        <v>68</v>
      </c>
      <c r="N55" s="125">
        <v>60</v>
      </c>
      <c r="O55" s="129">
        <v>68</v>
      </c>
      <c r="Q55" s="128" t="str">
        <f t="shared" si="6"/>
        <v>D/%</v>
      </c>
      <c r="R55" s="127">
        <f t="shared" si="7"/>
        <v>-10</v>
      </c>
      <c r="S55" s="127">
        <f t="shared" si="7"/>
        <v>-9</v>
      </c>
      <c r="T55" s="127">
        <f t="shared" si="7"/>
        <v>-10</v>
      </c>
      <c r="U55" s="127">
        <f t="shared" si="7"/>
        <v>-9</v>
      </c>
      <c r="V55" s="127">
        <f t="shared" si="7"/>
        <v>-8</v>
      </c>
      <c r="W55" s="127">
        <f t="shared" si="7"/>
        <v>-8</v>
      </c>
    </row>
    <row r="56" spans="1:23" ht="12.75">
      <c r="A56" s="130" t="s">
        <v>11</v>
      </c>
      <c r="B56" s="131">
        <v>3.6</v>
      </c>
      <c r="C56" s="125">
        <v>4</v>
      </c>
      <c r="D56" s="125">
        <v>3.2</v>
      </c>
      <c r="E56" s="125">
        <v>4.5</v>
      </c>
      <c r="F56" s="125">
        <v>3.3</v>
      </c>
      <c r="G56" s="129">
        <v>4.5</v>
      </c>
      <c r="H56" s="125"/>
      <c r="I56" s="130" t="s">
        <v>11</v>
      </c>
      <c r="J56" s="131">
        <v>5.7</v>
      </c>
      <c r="K56" s="125">
        <v>5.9</v>
      </c>
      <c r="L56" s="125">
        <v>5.3</v>
      </c>
      <c r="M56" s="125">
        <v>6.5</v>
      </c>
      <c r="N56" s="125">
        <v>4.8</v>
      </c>
      <c r="O56" s="129">
        <v>6.3</v>
      </c>
      <c r="Q56" s="128" t="str">
        <f t="shared" si="6"/>
        <v>C/dB</v>
      </c>
      <c r="R56" s="127">
        <f t="shared" si="7"/>
        <v>-2.1</v>
      </c>
      <c r="S56" s="127">
        <f t="shared" si="7"/>
        <v>-1.9000000000000004</v>
      </c>
      <c r="T56" s="127">
        <f t="shared" si="7"/>
        <v>-2.0999999999999996</v>
      </c>
      <c r="U56" s="127">
        <f t="shared" si="7"/>
        <v>-2</v>
      </c>
      <c r="V56" s="127">
        <f t="shared" si="7"/>
        <v>-1.5</v>
      </c>
      <c r="W56" s="127">
        <f t="shared" si="7"/>
        <v>-1.7999999999999998</v>
      </c>
    </row>
    <row r="57" spans="1:23" ht="13.5" customHeight="1">
      <c r="A57" s="130" t="s">
        <v>12</v>
      </c>
      <c r="B57" s="131">
        <v>68</v>
      </c>
      <c r="C57" s="125">
        <v>63</v>
      </c>
      <c r="D57" s="125">
        <v>71</v>
      </c>
      <c r="E57" s="125">
        <v>59</v>
      </c>
      <c r="F57" s="125">
        <v>69</v>
      </c>
      <c r="G57" s="129">
        <v>60</v>
      </c>
      <c r="H57" s="125"/>
      <c r="I57" s="130" t="s">
        <v>12</v>
      </c>
      <c r="J57" s="131">
        <v>50</v>
      </c>
      <c r="K57" s="125">
        <v>48</v>
      </c>
      <c r="L57" s="125">
        <v>54</v>
      </c>
      <c r="M57" s="125">
        <v>44</v>
      </c>
      <c r="N57" s="125">
        <v>57</v>
      </c>
      <c r="O57" s="129">
        <v>46</v>
      </c>
      <c r="Q57" s="128" t="str">
        <f t="shared" si="6"/>
        <v>TS/ms</v>
      </c>
      <c r="R57" s="127">
        <f t="shared" si="7"/>
        <v>18</v>
      </c>
      <c r="S57" s="127">
        <f t="shared" si="7"/>
        <v>15</v>
      </c>
      <c r="T57" s="127">
        <f t="shared" si="7"/>
        <v>17</v>
      </c>
      <c r="U57" s="127">
        <f t="shared" si="7"/>
        <v>15</v>
      </c>
      <c r="V57" s="127">
        <f t="shared" si="7"/>
        <v>12</v>
      </c>
      <c r="W57" s="127">
        <f t="shared" si="7"/>
        <v>14</v>
      </c>
    </row>
    <row r="58" spans="1:23" ht="12" customHeight="1">
      <c r="A58" s="130" t="s">
        <v>13</v>
      </c>
      <c r="B58" s="131">
        <v>19</v>
      </c>
      <c r="C58" s="125">
        <v>20</v>
      </c>
      <c r="D58" s="125">
        <v>19</v>
      </c>
      <c r="E58" s="125">
        <v>20</v>
      </c>
      <c r="F58" s="125">
        <v>19</v>
      </c>
      <c r="G58" s="129">
        <v>20</v>
      </c>
      <c r="H58" s="125"/>
      <c r="I58" s="130" t="s">
        <v>13</v>
      </c>
      <c r="J58" s="131">
        <v>18</v>
      </c>
      <c r="K58" s="125">
        <v>19</v>
      </c>
      <c r="L58" s="125">
        <v>18</v>
      </c>
      <c r="M58" s="125">
        <v>19</v>
      </c>
      <c r="N58" s="125">
        <v>18</v>
      </c>
      <c r="O58" s="129">
        <v>19</v>
      </c>
      <c r="Q58" s="128" t="str">
        <f t="shared" si="6"/>
        <v>G/dB</v>
      </c>
      <c r="R58" s="127">
        <f t="shared" si="7"/>
        <v>1</v>
      </c>
      <c r="S58" s="127">
        <f t="shared" si="7"/>
        <v>1</v>
      </c>
      <c r="T58" s="127">
        <f t="shared" si="7"/>
        <v>1</v>
      </c>
      <c r="U58" s="127">
        <f t="shared" si="7"/>
        <v>1</v>
      </c>
      <c r="V58" s="127">
        <f t="shared" si="7"/>
        <v>1</v>
      </c>
      <c r="W58" s="127">
        <f t="shared" si="7"/>
        <v>1</v>
      </c>
    </row>
    <row r="59" spans="1:23" ht="12.75">
      <c r="A59" s="130" t="s">
        <v>14</v>
      </c>
      <c r="B59" s="131">
        <v>27</v>
      </c>
      <c r="C59" s="125">
        <v>23</v>
      </c>
      <c r="D59" s="125">
        <v>27</v>
      </c>
      <c r="E59" s="125">
        <v>24</v>
      </c>
      <c r="F59" s="125">
        <v>27</v>
      </c>
      <c r="G59" s="129">
        <v>26</v>
      </c>
      <c r="H59" s="125"/>
      <c r="I59" s="130" t="s">
        <v>14</v>
      </c>
      <c r="J59" s="131">
        <v>24</v>
      </c>
      <c r="K59" s="125">
        <v>21</v>
      </c>
      <c r="L59" s="125">
        <v>26</v>
      </c>
      <c r="M59" s="125">
        <v>20</v>
      </c>
      <c r="N59" s="125">
        <v>25</v>
      </c>
      <c r="O59" s="129">
        <v>25</v>
      </c>
      <c r="Q59" s="128" t="str">
        <f t="shared" si="6"/>
        <v>LF/%</v>
      </c>
      <c r="R59" s="127">
        <f t="shared" si="7"/>
        <v>3</v>
      </c>
      <c r="S59" s="127">
        <f t="shared" si="7"/>
        <v>2</v>
      </c>
      <c r="T59" s="127">
        <f t="shared" si="7"/>
        <v>1</v>
      </c>
      <c r="U59" s="127">
        <f t="shared" si="7"/>
        <v>4</v>
      </c>
      <c r="V59" s="127">
        <f t="shared" si="7"/>
        <v>2</v>
      </c>
      <c r="W59" s="127">
        <f t="shared" si="7"/>
        <v>1</v>
      </c>
    </row>
    <row r="60" spans="1:23" ht="12.75">
      <c r="A60" s="130" t="s">
        <v>15</v>
      </c>
      <c r="B60" s="131">
        <v>39</v>
      </c>
      <c r="C60" s="125">
        <v>34</v>
      </c>
      <c r="D60" s="125">
        <v>41</v>
      </c>
      <c r="E60" s="125">
        <v>34</v>
      </c>
      <c r="F60" s="125">
        <v>39</v>
      </c>
      <c r="G60" s="129">
        <v>37</v>
      </c>
      <c r="H60" s="125"/>
      <c r="I60" s="130" t="s">
        <v>15</v>
      </c>
      <c r="J60" s="131">
        <v>35</v>
      </c>
      <c r="K60" s="125">
        <v>32</v>
      </c>
      <c r="L60" s="125">
        <v>40</v>
      </c>
      <c r="M60" s="125">
        <v>30</v>
      </c>
      <c r="N60" s="125">
        <v>37</v>
      </c>
      <c r="O60" s="129">
        <v>37</v>
      </c>
      <c r="Q60" s="128" t="str">
        <f t="shared" si="6"/>
        <v>LFC/%</v>
      </c>
      <c r="R60" s="127">
        <f t="shared" si="7"/>
        <v>4</v>
      </c>
      <c r="S60" s="127">
        <f t="shared" si="7"/>
        <v>2</v>
      </c>
      <c r="T60" s="127">
        <f t="shared" si="7"/>
        <v>1</v>
      </c>
      <c r="U60" s="127">
        <f t="shared" si="7"/>
        <v>4</v>
      </c>
      <c r="V60" s="127">
        <f t="shared" si="7"/>
        <v>2</v>
      </c>
      <c r="W60" s="127">
        <f t="shared" si="7"/>
        <v>0</v>
      </c>
    </row>
    <row r="61" spans="1:23" ht="12.75">
      <c r="A61" s="134" t="s">
        <v>16</v>
      </c>
      <c r="B61" s="135"/>
      <c r="C61" s="132"/>
      <c r="D61" s="132"/>
      <c r="E61" s="132"/>
      <c r="F61" s="132"/>
      <c r="G61" s="133"/>
      <c r="H61" s="125"/>
      <c r="I61" s="134" t="s">
        <v>16</v>
      </c>
      <c r="J61" s="135"/>
      <c r="K61" s="132"/>
      <c r="L61" s="132"/>
      <c r="M61" s="132"/>
      <c r="N61" s="132"/>
      <c r="O61" s="133"/>
      <c r="Q61" s="128" t="str">
        <f t="shared" si="6"/>
        <v>IACC</v>
      </c>
      <c r="R61" s="127">
        <f t="shared" si="7"/>
        <v>0</v>
      </c>
      <c r="S61" s="127">
        <f t="shared" si="7"/>
        <v>0</v>
      </c>
      <c r="T61" s="127">
        <f t="shared" si="7"/>
        <v>0</v>
      </c>
      <c r="U61" s="127">
        <f t="shared" si="7"/>
        <v>0</v>
      </c>
      <c r="V61" s="127">
        <f t="shared" si="7"/>
        <v>0</v>
      </c>
      <c r="W61" s="127">
        <f t="shared" si="7"/>
        <v>0</v>
      </c>
    </row>
    <row r="62" spans="5:15" ht="12.75">
      <c r="E62" s="136"/>
      <c r="F62" s="136"/>
      <c r="G62" s="136"/>
      <c r="H62" s="136"/>
      <c r="M62" s="136"/>
      <c r="N62" s="136"/>
      <c r="O62" s="136"/>
    </row>
    <row r="63" spans="1:18" ht="12.75">
      <c r="A63" s="155" t="s">
        <v>20</v>
      </c>
      <c r="B63" s="156" t="s">
        <v>1</v>
      </c>
      <c r="E63" s="136"/>
      <c r="F63" s="136"/>
      <c r="G63" s="136"/>
      <c r="H63" s="136"/>
      <c r="I63" s="155" t="s">
        <v>20</v>
      </c>
      <c r="J63" s="156" t="s">
        <v>1</v>
      </c>
      <c r="M63" s="136"/>
      <c r="N63" s="136"/>
      <c r="O63" s="136"/>
      <c r="Q63" s="128" t="str">
        <f>+A63</f>
        <v>2000 Hz</v>
      </c>
      <c r="R63" s="128" t="str">
        <f>+B63</f>
        <v>octave</v>
      </c>
    </row>
    <row r="64" spans="1:23" ht="12.75">
      <c r="A64" s="142"/>
      <c r="B64" s="140" t="s">
        <v>2</v>
      </c>
      <c r="C64" s="140" t="s">
        <v>3</v>
      </c>
      <c r="D64" s="139" t="s">
        <v>4</v>
      </c>
      <c r="E64" s="139" t="s">
        <v>5</v>
      </c>
      <c r="F64" s="140" t="s">
        <v>6</v>
      </c>
      <c r="G64" s="139" t="s">
        <v>7</v>
      </c>
      <c r="H64" s="141"/>
      <c r="I64" s="142"/>
      <c r="J64" s="140" t="s">
        <v>2</v>
      </c>
      <c r="K64" s="140" t="s">
        <v>3</v>
      </c>
      <c r="L64" s="139" t="s">
        <v>4</v>
      </c>
      <c r="M64" s="139" t="s">
        <v>5</v>
      </c>
      <c r="N64" s="140" t="s">
        <v>6</v>
      </c>
      <c r="O64" s="139" t="s">
        <v>7</v>
      </c>
      <c r="Q64" s="128">
        <f>+A64</f>
        <v>0</v>
      </c>
      <c r="R64" s="128" t="str">
        <f>+B64</f>
        <v>S1R1</v>
      </c>
      <c r="S64" s="128" t="str">
        <f>+C64</f>
        <v>S1R2</v>
      </c>
      <c r="T64" s="128" t="str">
        <f>+D64</f>
        <v>S1R3</v>
      </c>
      <c r="U64" s="128" t="str">
        <f>+E64</f>
        <v>S2R1</v>
      </c>
      <c r="V64" s="128" t="str">
        <f>+F64</f>
        <v>S2R2</v>
      </c>
      <c r="W64" s="128" t="str">
        <f>+G64</f>
        <v>S2R3</v>
      </c>
    </row>
    <row r="65" spans="1:23" ht="12.75">
      <c r="A65" s="130" t="s">
        <v>8</v>
      </c>
      <c r="B65" s="145">
        <v>1.14</v>
      </c>
      <c r="C65" s="143">
        <v>1.12</v>
      </c>
      <c r="D65" s="143">
        <v>1.14</v>
      </c>
      <c r="E65" s="125">
        <v>1.15</v>
      </c>
      <c r="F65" s="143">
        <v>1.12</v>
      </c>
      <c r="G65" s="144">
        <v>1.13</v>
      </c>
      <c r="H65" s="125"/>
      <c r="I65" s="130" t="s">
        <v>8</v>
      </c>
      <c r="J65" s="145">
        <v>0.77</v>
      </c>
      <c r="K65" s="143">
        <v>0.78</v>
      </c>
      <c r="L65" s="143">
        <v>0.78</v>
      </c>
      <c r="M65" s="125">
        <v>0.78</v>
      </c>
      <c r="N65" s="143">
        <v>0.77</v>
      </c>
      <c r="O65" s="144">
        <v>0.77</v>
      </c>
      <c r="Q65" s="128" t="str">
        <f aca="true" t="shared" si="8" ref="Q65:Q73">+A65</f>
        <v>T30/s</v>
      </c>
      <c r="R65" s="127">
        <f aca="true" t="shared" si="9" ref="R65:W73">+B65-J65</f>
        <v>0.3699999999999999</v>
      </c>
      <c r="S65" s="127">
        <f t="shared" si="9"/>
        <v>0.3400000000000001</v>
      </c>
      <c r="T65" s="127">
        <f t="shared" si="9"/>
        <v>0.3599999999999999</v>
      </c>
      <c r="U65" s="127">
        <f t="shared" si="9"/>
        <v>0.3699999999999999</v>
      </c>
      <c r="V65" s="127">
        <f t="shared" si="9"/>
        <v>0.3500000000000001</v>
      </c>
      <c r="W65" s="127">
        <f t="shared" si="9"/>
        <v>0.3599999999999999</v>
      </c>
    </row>
    <row r="66" spans="1:23" ht="12.75">
      <c r="A66" s="130" t="s">
        <v>9</v>
      </c>
      <c r="B66" s="131">
        <v>1.09</v>
      </c>
      <c r="C66" s="125">
        <v>1.02</v>
      </c>
      <c r="D66" s="125">
        <v>1.11</v>
      </c>
      <c r="E66" s="125">
        <v>1</v>
      </c>
      <c r="F66" s="125">
        <v>1.11</v>
      </c>
      <c r="G66" s="129">
        <v>0.99</v>
      </c>
      <c r="H66" s="125"/>
      <c r="I66" s="130" t="s">
        <v>9</v>
      </c>
      <c r="J66" s="131">
        <v>0.73</v>
      </c>
      <c r="K66" s="125">
        <v>0.67</v>
      </c>
      <c r="L66" s="125">
        <v>0.76</v>
      </c>
      <c r="M66" s="125">
        <v>0.66</v>
      </c>
      <c r="N66" s="125">
        <v>0.79</v>
      </c>
      <c r="O66" s="129">
        <v>0.66</v>
      </c>
      <c r="Q66" s="128" t="str">
        <f t="shared" si="8"/>
        <v>EDT/s</v>
      </c>
      <c r="R66" s="127">
        <f t="shared" si="9"/>
        <v>0.3600000000000001</v>
      </c>
      <c r="S66" s="127">
        <f t="shared" si="9"/>
        <v>0.35</v>
      </c>
      <c r="T66" s="127">
        <f t="shared" si="9"/>
        <v>0.3500000000000001</v>
      </c>
      <c r="U66" s="127">
        <f t="shared" si="9"/>
        <v>0.33999999999999997</v>
      </c>
      <c r="V66" s="127">
        <f t="shared" si="9"/>
        <v>0.32000000000000006</v>
      </c>
      <c r="W66" s="127">
        <f t="shared" si="9"/>
        <v>0.32999999999999996</v>
      </c>
    </row>
    <row r="67" spans="1:23" ht="12.75">
      <c r="A67" s="130" t="s">
        <v>10</v>
      </c>
      <c r="B67" s="131">
        <v>49</v>
      </c>
      <c r="C67" s="125">
        <v>54</v>
      </c>
      <c r="D67" s="125">
        <v>47</v>
      </c>
      <c r="E67" s="125">
        <v>54</v>
      </c>
      <c r="F67" s="125">
        <v>48</v>
      </c>
      <c r="G67" s="129">
        <v>56</v>
      </c>
      <c r="H67" s="125"/>
      <c r="I67" s="130" t="s">
        <v>10</v>
      </c>
      <c r="J67" s="131">
        <v>64</v>
      </c>
      <c r="K67" s="125">
        <v>68</v>
      </c>
      <c r="L67" s="125">
        <v>62</v>
      </c>
      <c r="M67" s="125">
        <v>68</v>
      </c>
      <c r="N67" s="125">
        <v>59</v>
      </c>
      <c r="O67" s="129">
        <v>68</v>
      </c>
      <c r="Q67" s="128" t="str">
        <f t="shared" si="8"/>
        <v>D/%</v>
      </c>
      <c r="R67" s="127">
        <f t="shared" si="9"/>
        <v>-15</v>
      </c>
      <c r="S67" s="127">
        <f t="shared" si="9"/>
        <v>-14</v>
      </c>
      <c r="T67" s="127">
        <f t="shared" si="9"/>
        <v>-15</v>
      </c>
      <c r="U67" s="127">
        <f t="shared" si="9"/>
        <v>-14</v>
      </c>
      <c r="V67" s="127">
        <f t="shared" si="9"/>
        <v>-11</v>
      </c>
      <c r="W67" s="127">
        <f t="shared" si="9"/>
        <v>-12</v>
      </c>
    </row>
    <row r="68" spans="1:23" ht="12.75">
      <c r="A68" s="130" t="s">
        <v>11</v>
      </c>
      <c r="B68" s="131">
        <v>2.6</v>
      </c>
      <c r="C68" s="125">
        <v>3.2</v>
      </c>
      <c r="D68" s="125">
        <v>2.5</v>
      </c>
      <c r="E68" s="125">
        <v>3.3</v>
      </c>
      <c r="F68" s="125">
        <v>2.5</v>
      </c>
      <c r="G68" s="129">
        <v>3.5</v>
      </c>
      <c r="H68" s="125"/>
      <c r="I68" s="130" t="s">
        <v>11</v>
      </c>
      <c r="J68" s="131">
        <v>5.6</v>
      </c>
      <c r="K68" s="125">
        <v>6.2</v>
      </c>
      <c r="L68" s="125">
        <v>5.2</v>
      </c>
      <c r="M68" s="125">
        <v>6.4</v>
      </c>
      <c r="N68" s="125">
        <v>4.8</v>
      </c>
      <c r="O68" s="129">
        <v>6.4</v>
      </c>
      <c r="Q68" s="128" t="str">
        <f t="shared" si="8"/>
        <v>C/dB</v>
      </c>
      <c r="R68" s="127">
        <f t="shared" si="9"/>
        <v>-2.9999999999999996</v>
      </c>
      <c r="S68" s="127">
        <f t="shared" si="9"/>
        <v>-3</v>
      </c>
      <c r="T68" s="127">
        <f t="shared" si="9"/>
        <v>-2.7</v>
      </c>
      <c r="U68" s="127">
        <f t="shared" si="9"/>
        <v>-3.1000000000000005</v>
      </c>
      <c r="V68" s="127">
        <f t="shared" si="9"/>
        <v>-2.3</v>
      </c>
      <c r="W68" s="127">
        <f t="shared" si="9"/>
        <v>-2.9000000000000004</v>
      </c>
    </row>
    <row r="69" spans="1:23" ht="12.75">
      <c r="A69" s="130" t="s">
        <v>12</v>
      </c>
      <c r="B69" s="131">
        <v>77</v>
      </c>
      <c r="C69" s="125">
        <v>71</v>
      </c>
      <c r="D69" s="125">
        <v>80</v>
      </c>
      <c r="E69" s="125">
        <v>69</v>
      </c>
      <c r="F69" s="125">
        <v>80</v>
      </c>
      <c r="G69" s="129">
        <v>68</v>
      </c>
      <c r="H69" s="125"/>
      <c r="I69" s="130" t="s">
        <v>12</v>
      </c>
      <c r="J69" s="131">
        <v>50</v>
      </c>
      <c r="K69" s="125">
        <v>46</v>
      </c>
      <c r="L69" s="125">
        <v>54</v>
      </c>
      <c r="M69" s="125">
        <v>45</v>
      </c>
      <c r="N69" s="125">
        <v>56</v>
      </c>
      <c r="O69" s="129">
        <v>45</v>
      </c>
      <c r="Q69" s="128" t="str">
        <f t="shared" si="8"/>
        <v>TS/ms</v>
      </c>
      <c r="R69" s="127">
        <f t="shared" si="9"/>
        <v>27</v>
      </c>
      <c r="S69" s="127">
        <f t="shared" si="9"/>
        <v>25</v>
      </c>
      <c r="T69" s="127">
        <f t="shared" si="9"/>
        <v>26</v>
      </c>
      <c r="U69" s="127">
        <f t="shared" si="9"/>
        <v>24</v>
      </c>
      <c r="V69" s="127">
        <f t="shared" si="9"/>
        <v>24</v>
      </c>
      <c r="W69" s="127">
        <f t="shared" si="9"/>
        <v>23</v>
      </c>
    </row>
    <row r="70" spans="1:23" ht="12.75">
      <c r="A70" s="130" t="s">
        <v>13</v>
      </c>
      <c r="B70" s="131">
        <v>20</v>
      </c>
      <c r="C70" s="125">
        <v>21</v>
      </c>
      <c r="D70" s="125">
        <v>20</v>
      </c>
      <c r="E70" s="125">
        <v>20</v>
      </c>
      <c r="F70" s="125">
        <v>20</v>
      </c>
      <c r="G70" s="129">
        <v>21</v>
      </c>
      <c r="H70" s="125"/>
      <c r="I70" s="130" t="s">
        <v>13</v>
      </c>
      <c r="J70" s="131">
        <v>18</v>
      </c>
      <c r="K70" s="125">
        <v>19</v>
      </c>
      <c r="L70" s="125">
        <v>18</v>
      </c>
      <c r="M70" s="125">
        <v>19</v>
      </c>
      <c r="N70" s="125">
        <v>18</v>
      </c>
      <c r="O70" s="129">
        <v>20</v>
      </c>
      <c r="Q70" s="128" t="str">
        <f t="shared" si="8"/>
        <v>G/dB</v>
      </c>
      <c r="R70" s="127">
        <f t="shared" si="9"/>
        <v>2</v>
      </c>
      <c r="S70" s="127">
        <f t="shared" si="9"/>
        <v>2</v>
      </c>
      <c r="T70" s="127">
        <f t="shared" si="9"/>
        <v>2</v>
      </c>
      <c r="U70" s="127">
        <f t="shared" si="9"/>
        <v>1</v>
      </c>
      <c r="V70" s="127">
        <f t="shared" si="9"/>
        <v>2</v>
      </c>
      <c r="W70" s="127">
        <f t="shared" si="9"/>
        <v>1</v>
      </c>
    </row>
    <row r="71" spans="1:23" ht="12.75">
      <c r="A71" s="130" t="s">
        <v>14</v>
      </c>
      <c r="B71" s="131">
        <v>28</v>
      </c>
      <c r="C71" s="125">
        <v>23</v>
      </c>
      <c r="D71" s="125">
        <v>27</v>
      </c>
      <c r="E71" s="125">
        <v>25</v>
      </c>
      <c r="F71" s="125">
        <v>27</v>
      </c>
      <c r="G71" s="129">
        <v>26</v>
      </c>
      <c r="H71" s="125"/>
      <c r="I71" s="130" t="s">
        <v>14</v>
      </c>
      <c r="J71" s="131">
        <v>23</v>
      </c>
      <c r="K71" s="125">
        <v>21</v>
      </c>
      <c r="L71" s="125">
        <v>26</v>
      </c>
      <c r="M71" s="125">
        <v>21</v>
      </c>
      <c r="N71" s="125">
        <v>25</v>
      </c>
      <c r="O71" s="129">
        <v>25</v>
      </c>
      <c r="Q71" s="128" t="str">
        <f t="shared" si="8"/>
        <v>LF/%</v>
      </c>
      <c r="R71" s="127">
        <f t="shared" si="9"/>
        <v>5</v>
      </c>
      <c r="S71" s="127">
        <f t="shared" si="9"/>
        <v>2</v>
      </c>
      <c r="T71" s="127">
        <f t="shared" si="9"/>
        <v>1</v>
      </c>
      <c r="U71" s="127">
        <f t="shared" si="9"/>
        <v>4</v>
      </c>
      <c r="V71" s="127">
        <f t="shared" si="9"/>
        <v>2</v>
      </c>
      <c r="W71" s="127">
        <f t="shared" si="9"/>
        <v>1</v>
      </c>
    </row>
    <row r="72" spans="1:23" ht="12.75">
      <c r="A72" s="130" t="s">
        <v>15</v>
      </c>
      <c r="B72" s="131">
        <v>40</v>
      </c>
      <c r="C72" s="125">
        <v>35</v>
      </c>
      <c r="D72" s="125">
        <v>42</v>
      </c>
      <c r="E72" s="125">
        <v>35</v>
      </c>
      <c r="F72" s="125">
        <v>40</v>
      </c>
      <c r="G72" s="129">
        <v>37</v>
      </c>
      <c r="H72" s="125"/>
      <c r="I72" s="130" t="s">
        <v>15</v>
      </c>
      <c r="J72" s="131">
        <v>34</v>
      </c>
      <c r="K72" s="125">
        <v>32</v>
      </c>
      <c r="L72" s="125">
        <v>40</v>
      </c>
      <c r="M72" s="125">
        <v>31</v>
      </c>
      <c r="N72" s="125">
        <v>37</v>
      </c>
      <c r="O72" s="129">
        <v>37</v>
      </c>
      <c r="Q72" s="128" t="str">
        <f t="shared" si="8"/>
        <v>LFC/%</v>
      </c>
      <c r="R72" s="127">
        <f t="shared" si="9"/>
        <v>6</v>
      </c>
      <c r="S72" s="127">
        <f t="shared" si="9"/>
        <v>3</v>
      </c>
      <c r="T72" s="127">
        <f t="shared" si="9"/>
        <v>2</v>
      </c>
      <c r="U72" s="127">
        <f t="shared" si="9"/>
        <v>4</v>
      </c>
      <c r="V72" s="127">
        <f t="shared" si="9"/>
        <v>3</v>
      </c>
      <c r="W72" s="127">
        <f t="shared" si="9"/>
        <v>0</v>
      </c>
    </row>
    <row r="73" spans="1:23" ht="12.75">
      <c r="A73" s="134" t="s">
        <v>16</v>
      </c>
      <c r="B73" s="135"/>
      <c r="C73" s="132"/>
      <c r="D73" s="132"/>
      <c r="E73" s="132"/>
      <c r="F73" s="132"/>
      <c r="G73" s="133"/>
      <c r="H73" s="125"/>
      <c r="I73" s="134" t="s">
        <v>16</v>
      </c>
      <c r="J73" s="135"/>
      <c r="K73" s="132"/>
      <c r="L73" s="132"/>
      <c r="M73" s="132"/>
      <c r="N73" s="132"/>
      <c r="O73" s="133"/>
      <c r="Q73" s="128" t="str">
        <f t="shared" si="8"/>
        <v>IACC</v>
      </c>
      <c r="R73" s="127">
        <f t="shared" si="9"/>
        <v>0</v>
      </c>
      <c r="S73" s="127">
        <f t="shared" si="9"/>
        <v>0</v>
      </c>
      <c r="T73" s="127">
        <f t="shared" si="9"/>
        <v>0</v>
      </c>
      <c r="U73" s="127">
        <f t="shared" si="9"/>
        <v>0</v>
      </c>
      <c r="V73" s="127">
        <f t="shared" si="9"/>
        <v>0</v>
      </c>
      <c r="W73" s="127">
        <f t="shared" si="9"/>
        <v>0</v>
      </c>
    </row>
    <row r="74" spans="5:15" ht="12.75">
      <c r="E74" s="136"/>
      <c r="F74" s="136"/>
      <c r="G74" s="136"/>
      <c r="H74" s="136"/>
      <c r="M74" s="136"/>
      <c r="N74" s="136"/>
      <c r="O74" s="136"/>
    </row>
    <row r="75" spans="1:18" ht="12.75">
      <c r="A75" s="155" t="s">
        <v>21</v>
      </c>
      <c r="B75" s="156" t="s">
        <v>1</v>
      </c>
      <c r="E75" s="136"/>
      <c r="F75" s="136"/>
      <c r="G75" s="136"/>
      <c r="H75" s="136"/>
      <c r="I75" s="155" t="s">
        <v>21</v>
      </c>
      <c r="J75" s="156" t="s">
        <v>1</v>
      </c>
      <c r="M75" s="136"/>
      <c r="N75" s="136"/>
      <c r="O75" s="136"/>
      <c r="Q75" s="128" t="str">
        <f>+A75</f>
        <v>4000 Hz</v>
      </c>
      <c r="R75" s="128" t="str">
        <f>+B75</f>
        <v>octave</v>
      </c>
    </row>
    <row r="76" spans="1:23" ht="12.75">
      <c r="A76" s="142"/>
      <c r="B76" s="140" t="s">
        <v>2</v>
      </c>
      <c r="C76" s="140" t="s">
        <v>3</v>
      </c>
      <c r="D76" s="139" t="s">
        <v>4</v>
      </c>
      <c r="E76" s="139" t="s">
        <v>5</v>
      </c>
      <c r="F76" s="140" t="s">
        <v>6</v>
      </c>
      <c r="G76" s="139" t="s">
        <v>7</v>
      </c>
      <c r="H76" s="141"/>
      <c r="I76" s="142"/>
      <c r="J76" s="140" t="s">
        <v>2</v>
      </c>
      <c r="K76" s="140" t="s">
        <v>3</v>
      </c>
      <c r="L76" s="139" t="s">
        <v>4</v>
      </c>
      <c r="M76" s="139" t="s">
        <v>5</v>
      </c>
      <c r="N76" s="140" t="s">
        <v>6</v>
      </c>
      <c r="O76" s="139" t="s">
        <v>7</v>
      </c>
      <c r="Q76" s="128">
        <f>+A76</f>
        <v>0</v>
      </c>
      <c r="R76" s="128" t="str">
        <f>+B76</f>
        <v>S1R1</v>
      </c>
      <c r="S76" s="128" t="str">
        <f>+C76</f>
        <v>S1R2</v>
      </c>
      <c r="T76" s="128" t="str">
        <f>+D76</f>
        <v>S1R3</v>
      </c>
      <c r="U76" s="128" t="str">
        <f>+E76</f>
        <v>S2R1</v>
      </c>
      <c r="V76" s="128" t="str">
        <f>+F76</f>
        <v>S2R2</v>
      </c>
      <c r="W76" s="128" t="str">
        <f>+G76</f>
        <v>S2R3</v>
      </c>
    </row>
    <row r="77" spans="1:23" ht="12.75">
      <c r="A77" s="130" t="s">
        <v>8</v>
      </c>
      <c r="B77" s="145">
        <v>0.99</v>
      </c>
      <c r="C77" s="143">
        <v>0.98</v>
      </c>
      <c r="D77" s="143">
        <v>0.98</v>
      </c>
      <c r="E77" s="125">
        <v>0.97</v>
      </c>
      <c r="F77" s="143">
        <v>0.99</v>
      </c>
      <c r="G77" s="144">
        <v>0.97</v>
      </c>
      <c r="H77" s="125"/>
      <c r="I77" s="130" t="s">
        <v>8</v>
      </c>
      <c r="J77" s="145">
        <v>0.67</v>
      </c>
      <c r="K77" s="143">
        <v>0.67</v>
      </c>
      <c r="L77" s="143">
        <v>0.67</v>
      </c>
      <c r="M77" s="125">
        <v>0.66</v>
      </c>
      <c r="N77" s="143">
        <v>0.66</v>
      </c>
      <c r="O77" s="144">
        <v>0.66</v>
      </c>
      <c r="Q77" s="128" t="str">
        <f aca="true" t="shared" si="10" ref="Q77:Q85">+A77</f>
        <v>T30/s</v>
      </c>
      <c r="R77" s="127">
        <f aca="true" t="shared" si="11" ref="R77:W85">+B77-J77</f>
        <v>0.31999999999999995</v>
      </c>
      <c r="S77" s="127">
        <f t="shared" si="11"/>
        <v>0.30999999999999994</v>
      </c>
      <c r="T77" s="127">
        <f t="shared" si="11"/>
        <v>0.30999999999999994</v>
      </c>
      <c r="U77" s="127">
        <f t="shared" si="11"/>
        <v>0.30999999999999994</v>
      </c>
      <c r="V77" s="127">
        <f t="shared" si="11"/>
        <v>0.32999999999999996</v>
      </c>
      <c r="W77" s="127">
        <f t="shared" si="11"/>
        <v>0.30999999999999994</v>
      </c>
    </row>
    <row r="78" spans="1:23" ht="12.75">
      <c r="A78" s="130" t="s">
        <v>9</v>
      </c>
      <c r="B78" s="131">
        <v>0.93</v>
      </c>
      <c r="C78" s="125">
        <v>0.89</v>
      </c>
      <c r="D78" s="125">
        <v>0.99</v>
      </c>
      <c r="E78" s="125">
        <v>0.85</v>
      </c>
      <c r="F78" s="125">
        <v>0.94</v>
      </c>
      <c r="G78" s="129">
        <v>0.83</v>
      </c>
      <c r="H78" s="125"/>
      <c r="I78" s="130" t="s">
        <v>9</v>
      </c>
      <c r="J78" s="131">
        <v>0.6</v>
      </c>
      <c r="K78" s="125">
        <v>0.55</v>
      </c>
      <c r="L78" s="125">
        <v>0.63</v>
      </c>
      <c r="M78" s="125">
        <v>0.54</v>
      </c>
      <c r="N78" s="125">
        <v>0.66</v>
      </c>
      <c r="O78" s="129">
        <v>0.57</v>
      </c>
      <c r="Q78" s="128" t="str">
        <f t="shared" si="10"/>
        <v>EDT/s</v>
      </c>
      <c r="R78" s="127">
        <f t="shared" si="11"/>
        <v>0.33000000000000007</v>
      </c>
      <c r="S78" s="127">
        <f t="shared" si="11"/>
        <v>0.33999999999999997</v>
      </c>
      <c r="T78" s="127">
        <f t="shared" si="11"/>
        <v>0.36</v>
      </c>
      <c r="U78" s="127">
        <f t="shared" si="11"/>
        <v>0.30999999999999994</v>
      </c>
      <c r="V78" s="127">
        <f t="shared" si="11"/>
        <v>0.2799999999999999</v>
      </c>
      <c r="W78" s="127">
        <f t="shared" si="11"/>
        <v>0.26</v>
      </c>
    </row>
    <row r="79" spans="1:23" ht="12.75">
      <c r="A79" s="130" t="s">
        <v>10</v>
      </c>
      <c r="B79" s="131">
        <v>55</v>
      </c>
      <c r="C79" s="125">
        <v>58</v>
      </c>
      <c r="D79" s="125">
        <v>51</v>
      </c>
      <c r="E79" s="125">
        <v>60</v>
      </c>
      <c r="F79" s="125">
        <v>53</v>
      </c>
      <c r="G79" s="129">
        <v>61</v>
      </c>
      <c r="H79" s="125"/>
      <c r="I79" s="130" t="s">
        <v>10</v>
      </c>
      <c r="J79" s="131">
        <v>70</v>
      </c>
      <c r="K79" s="125">
        <v>73</v>
      </c>
      <c r="L79" s="125">
        <v>68</v>
      </c>
      <c r="M79" s="125">
        <v>74</v>
      </c>
      <c r="N79" s="125">
        <v>66</v>
      </c>
      <c r="O79" s="129">
        <v>73</v>
      </c>
      <c r="Q79" s="128" t="str">
        <f t="shared" si="10"/>
        <v>D/%</v>
      </c>
      <c r="R79" s="127">
        <f t="shared" si="11"/>
        <v>-15</v>
      </c>
      <c r="S79" s="127">
        <f t="shared" si="11"/>
        <v>-15</v>
      </c>
      <c r="T79" s="127">
        <f t="shared" si="11"/>
        <v>-17</v>
      </c>
      <c r="U79" s="127">
        <f t="shared" si="11"/>
        <v>-14</v>
      </c>
      <c r="V79" s="127">
        <f t="shared" si="11"/>
        <v>-13</v>
      </c>
      <c r="W79" s="127">
        <f t="shared" si="11"/>
        <v>-12</v>
      </c>
    </row>
    <row r="80" spans="1:23" ht="12.75">
      <c r="A80" s="130" t="s">
        <v>11</v>
      </c>
      <c r="B80" s="131">
        <v>3.7</v>
      </c>
      <c r="C80" s="125">
        <v>4.2</v>
      </c>
      <c r="D80" s="125">
        <v>3.3</v>
      </c>
      <c r="E80" s="125">
        <v>4.6</v>
      </c>
      <c r="F80" s="125">
        <v>3.6</v>
      </c>
      <c r="G80" s="129">
        <v>4.7</v>
      </c>
      <c r="H80" s="125"/>
      <c r="I80" s="130" t="s">
        <v>11</v>
      </c>
      <c r="J80" s="131">
        <v>7.3</v>
      </c>
      <c r="K80" s="125">
        <v>7.9</v>
      </c>
      <c r="L80" s="125">
        <v>6.8</v>
      </c>
      <c r="M80" s="125">
        <v>7.9</v>
      </c>
      <c r="N80" s="125">
        <v>6.3</v>
      </c>
      <c r="O80" s="129">
        <v>7.5</v>
      </c>
      <c r="Q80" s="128" t="str">
        <f t="shared" si="10"/>
        <v>C/dB</v>
      </c>
      <c r="R80" s="127">
        <f t="shared" si="11"/>
        <v>-3.5999999999999996</v>
      </c>
      <c r="S80" s="127">
        <f t="shared" si="11"/>
        <v>-3.7</v>
      </c>
      <c r="T80" s="127">
        <f t="shared" si="11"/>
        <v>-3.5</v>
      </c>
      <c r="U80" s="127">
        <f t="shared" si="11"/>
        <v>-3.3000000000000007</v>
      </c>
      <c r="V80" s="127">
        <f t="shared" si="11"/>
        <v>-2.6999999999999997</v>
      </c>
      <c r="W80" s="127">
        <f t="shared" si="11"/>
        <v>-2.8</v>
      </c>
    </row>
    <row r="81" spans="1:23" ht="12.75">
      <c r="A81" s="130" t="s">
        <v>12</v>
      </c>
      <c r="B81" s="131">
        <v>66</v>
      </c>
      <c r="C81" s="125">
        <v>61</v>
      </c>
      <c r="D81" s="125">
        <v>70</v>
      </c>
      <c r="E81" s="125">
        <v>58</v>
      </c>
      <c r="F81" s="125">
        <v>67</v>
      </c>
      <c r="G81" s="129">
        <v>58</v>
      </c>
      <c r="H81" s="125"/>
      <c r="I81" s="130" t="s">
        <v>12</v>
      </c>
      <c r="J81" s="131">
        <v>42</v>
      </c>
      <c r="K81" s="125">
        <v>38</v>
      </c>
      <c r="L81" s="125">
        <v>45</v>
      </c>
      <c r="M81" s="125">
        <v>37</v>
      </c>
      <c r="N81" s="125">
        <v>47</v>
      </c>
      <c r="O81" s="129">
        <v>38</v>
      </c>
      <c r="Q81" s="128" t="str">
        <f t="shared" si="10"/>
        <v>TS/ms</v>
      </c>
      <c r="R81" s="127">
        <f t="shared" si="11"/>
        <v>24</v>
      </c>
      <c r="S81" s="127">
        <f t="shared" si="11"/>
        <v>23</v>
      </c>
      <c r="T81" s="127">
        <f t="shared" si="11"/>
        <v>25</v>
      </c>
      <c r="U81" s="127">
        <f t="shared" si="11"/>
        <v>21</v>
      </c>
      <c r="V81" s="127">
        <f t="shared" si="11"/>
        <v>20</v>
      </c>
      <c r="W81" s="127">
        <f t="shared" si="11"/>
        <v>20</v>
      </c>
    </row>
    <row r="82" spans="1:23" ht="12.75">
      <c r="A82" s="130" t="s">
        <v>13</v>
      </c>
      <c r="B82" s="131">
        <v>19</v>
      </c>
      <c r="C82" s="125">
        <v>20</v>
      </c>
      <c r="D82" s="125">
        <v>19</v>
      </c>
      <c r="E82" s="125">
        <v>20</v>
      </c>
      <c r="F82" s="125">
        <v>19</v>
      </c>
      <c r="G82" s="129">
        <v>20</v>
      </c>
      <c r="H82" s="125"/>
      <c r="I82" s="130" t="s">
        <v>13</v>
      </c>
      <c r="J82" s="131">
        <v>17</v>
      </c>
      <c r="K82" s="125">
        <v>19</v>
      </c>
      <c r="L82" s="125">
        <v>17</v>
      </c>
      <c r="M82" s="125">
        <v>18</v>
      </c>
      <c r="N82" s="125">
        <v>18</v>
      </c>
      <c r="O82" s="129">
        <v>19</v>
      </c>
      <c r="Q82" s="128" t="str">
        <f t="shared" si="10"/>
        <v>G/dB</v>
      </c>
      <c r="R82" s="127">
        <f t="shared" si="11"/>
        <v>2</v>
      </c>
      <c r="S82" s="127">
        <f t="shared" si="11"/>
        <v>1</v>
      </c>
      <c r="T82" s="127">
        <f t="shared" si="11"/>
        <v>2</v>
      </c>
      <c r="U82" s="127">
        <f t="shared" si="11"/>
        <v>2</v>
      </c>
      <c r="V82" s="127">
        <f t="shared" si="11"/>
        <v>1</v>
      </c>
      <c r="W82" s="127">
        <f t="shared" si="11"/>
        <v>1</v>
      </c>
    </row>
    <row r="83" spans="1:23" ht="12.75">
      <c r="A83" s="130" t="s">
        <v>14</v>
      </c>
      <c r="B83" s="131">
        <v>30</v>
      </c>
      <c r="C83" s="125">
        <v>24</v>
      </c>
      <c r="D83" s="125">
        <v>29</v>
      </c>
      <c r="E83" s="125">
        <v>26</v>
      </c>
      <c r="F83" s="125">
        <v>30</v>
      </c>
      <c r="G83" s="129">
        <v>27</v>
      </c>
      <c r="H83" s="125"/>
      <c r="I83" s="130" t="s">
        <v>14</v>
      </c>
      <c r="J83" s="131">
        <v>23</v>
      </c>
      <c r="K83" s="125">
        <v>22</v>
      </c>
      <c r="L83" s="125">
        <v>27</v>
      </c>
      <c r="M83" s="125">
        <v>21</v>
      </c>
      <c r="N83" s="125">
        <v>25</v>
      </c>
      <c r="O83" s="129">
        <v>25</v>
      </c>
      <c r="Q83" s="128" t="str">
        <f t="shared" si="10"/>
        <v>LF/%</v>
      </c>
      <c r="R83" s="127">
        <f t="shared" si="11"/>
        <v>7</v>
      </c>
      <c r="S83" s="127">
        <f t="shared" si="11"/>
        <v>2</v>
      </c>
      <c r="T83" s="127">
        <f t="shared" si="11"/>
        <v>2</v>
      </c>
      <c r="U83" s="127">
        <f t="shared" si="11"/>
        <v>5</v>
      </c>
      <c r="V83" s="127">
        <f t="shared" si="11"/>
        <v>5</v>
      </c>
      <c r="W83" s="127">
        <f t="shared" si="11"/>
        <v>2</v>
      </c>
    </row>
    <row r="84" spans="1:23" ht="12.75">
      <c r="A84" s="130" t="s">
        <v>15</v>
      </c>
      <c r="B84" s="131">
        <v>42</v>
      </c>
      <c r="C84" s="125">
        <v>36</v>
      </c>
      <c r="D84" s="125">
        <v>43</v>
      </c>
      <c r="E84" s="125">
        <v>37</v>
      </c>
      <c r="F84" s="125">
        <v>43</v>
      </c>
      <c r="G84" s="129">
        <v>39</v>
      </c>
      <c r="H84" s="125"/>
      <c r="I84" s="130" t="s">
        <v>15</v>
      </c>
      <c r="J84" s="131">
        <v>34</v>
      </c>
      <c r="K84" s="125">
        <v>33</v>
      </c>
      <c r="L84" s="125">
        <v>42</v>
      </c>
      <c r="M84" s="125">
        <v>31</v>
      </c>
      <c r="N84" s="125">
        <v>38</v>
      </c>
      <c r="O84" s="129">
        <v>37</v>
      </c>
      <c r="Q84" s="128" t="str">
        <f t="shared" si="10"/>
        <v>LFC/%</v>
      </c>
      <c r="R84" s="127">
        <f t="shared" si="11"/>
        <v>8</v>
      </c>
      <c r="S84" s="127">
        <f t="shared" si="11"/>
        <v>3</v>
      </c>
      <c r="T84" s="127">
        <f t="shared" si="11"/>
        <v>1</v>
      </c>
      <c r="U84" s="127">
        <f t="shared" si="11"/>
        <v>6</v>
      </c>
      <c r="V84" s="127">
        <f t="shared" si="11"/>
        <v>5</v>
      </c>
      <c r="W84" s="127">
        <f t="shared" si="11"/>
        <v>2</v>
      </c>
    </row>
    <row r="85" spans="1:23" ht="12.75">
      <c r="A85" s="134" t="s">
        <v>16</v>
      </c>
      <c r="B85" s="135"/>
      <c r="C85" s="132"/>
      <c r="D85" s="132"/>
      <c r="E85" s="132"/>
      <c r="F85" s="132"/>
      <c r="G85" s="133"/>
      <c r="H85" s="125"/>
      <c r="I85" s="134" t="s">
        <v>16</v>
      </c>
      <c r="J85" s="135"/>
      <c r="K85" s="132"/>
      <c r="L85" s="132"/>
      <c r="M85" s="132"/>
      <c r="N85" s="132"/>
      <c r="O85" s="133"/>
      <c r="Q85" s="128" t="str">
        <f t="shared" si="10"/>
        <v>IACC</v>
      </c>
      <c r="R85" s="127">
        <f t="shared" si="11"/>
        <v>0</v>
      </c>
      <c r="S85" s="127">
        <f t="shared" si="11"/>
        <v>0</v>
      </c>
      <c r="T85" s="127">
        <f t="shared" si="11"/>
        <v>0</v>
      </c>
      <c r="U85" s="127">
        <f t="shared" si="11"/>
        <v>0</v>
      </c>
      <c r="V85" s="127">
        <f t="shared" si="11"/>
        <v>0</v>
      </c>
      <c r="W85" s="127">
        <f t="shared" si="11"/>
        <v>0</v>
      </c>
    </row>
    <row r="86" spans="5:15" ht="12.75">
      <c r="E86" s="136"/>
      <c r="F86" s="136"/>
      <c r="G86" s="136"/>
      <c r="H86" s="136"/>
      <c r="M86" s="136"/>
      <c r="N86" s="136"/>
      <c r="O86" s="136"/>
    </row>
    <row r="87" spans="5:15" ht="12.75">
      <c r="E87" s="136"/>
      <c r="F87" s="136"/>
      <c r="G87" s="136"/>
      <c r="H87" s="136"/>
      <c r="M87" s="136"/>
      <c r="N87" s="136"/>
      <c r="O87" s="136"/>
    </row>
    <row r="88" spans="1:15" ht="12.75">
      <c r="A88" s="146"/>
      <c r="E88" s="136"/>
      <c r="F88" s="136"/>
      <c r="G88" s="136"/>
      <c r="H88" s="136"/>
      <c r="I88" s="146"/>
      <c r="M88" s="136"/>
      <c r="N88" s="136"/>
      <c r="O88" s="136"/>
    </row>
    <row r="89" spans="5:15" ht="12.75">
      <c r="E89" s="136"/>
      <c r="F89" s="136"/>
      <c r="G89" s="136"/>
      <c r="H89" s="136"/>
      <c r="M89" s="136"/>
      <c r="N89" s="136"/>
      <c r="O89" s="136"/>
    </row>
    <row r="90" spans="5:15" ht="12.75">
      <c r="E90" s="136"/>
      <c r="F90" s="136"/>
      <c r="G90" s="136"/>
      <c r="H90" s="136"/>
      <c r="M90" s="136"/>
      <c r="N90" s="136"/>
      <c r="O90" s="136"/>
    </row>
    <row r="91" spans="5:15" ht="12.75">
      <c r="E91" s="136"/>
      <c r="F91" s="136"/>
      <c r="G91" s="136"/>
      <c r="H91" s="136"/>
      <c r="M91" s="136"/>
      <c r="N91" s="136"/>
      <c r="O91" s="136"/>
    </row>
    <row r="92" spans="5:15" ht="12.75">
      <c r="E92" s="136"/>
      <c r="F92" s="136"/>
      <c r="G92" s="136"/>
      <c r="H92" s="136"/>
      <c r="M92" s="136"/>
      <c r="N92" s="136"/>
      <c r="O92" s="136"/>
    </row>
    <row r="93" spans="5:15" ht="12.75">
      <c r="E93" s="136"/>
      <c r="F93" s="136"/>
      <c r="G93" s="136"/>
      <c r="H93" s="136"/>
      <c r="M93" s="136"/>
      <c r="N93" s="136"/>
      <c r="O93" s="136"/>
    </row>
  </sheetData>
  <printOptions/>
  <pageMargins left="0.75" right="0.75" top="1" bottom="1" header="0.4921259845" footer="0.4921259845"/>
  <pageSetup fitToHeight="1" fitToWidth="1" horizontalDpi="300" verticalDpi="300" orientation="portrait" paperSize="9" scale="52" r:id="rId1"/>
  <headerFooter alignWithMargins="0">
    <oddHeader>&amp;C&amp;A</oddHeader>
    <oddFooter>&amp;LPTB 1.401&amp;CSeite &amp;P&amp;R&amp;D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W93"/>
  <sheetViews>
    <sheetView zoomScale="75" zoomScaleNormal="75" workbookViewId="0" topLeftCell="A1">
      <selection activeCell="F37" sqref="F37"/>
    </sheetView>
  </sheetViews>
  <sheetFormatPr defaultColWidth="11.5546875" defaultRowHeight="15"/>
  <cols>
    <col min="1" max="1" width="7.77734375" style="128" customWidth="1"/>
    <col min="2" max="16" width="6.77734375" style="128" customWidth="1"/>
    <col min="17" max="17" width="11.5546875" style="128" customWidth="1" collapsed="1"/>
    <col min="18" max="23" width="11.5546875" style="128" customWidth="1"/>
    <col min="24" max="16384" width="7.10546875" style="157" customWidth="1"/>
  </cols>
  <sheetData>
    <row r="1" spans="1:10" ht="12.75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5:10" ht="13.5" thickBot="1">
      <c r="E2" s="148"/>
      <c r="F2" s="148"/>
      <c r="G2" s="148"/>
      <c r="H2" s="148"/>
      <c r="I2" s="148"/>
      <c r="J2" s="148"/>
    </row>
    <row r="3" spans="1:2" ht="13.5" thickBot="1">
      <c r="A3" s="3"/>
      <c r="B3" s="4"/>
    </row>
    <row r="4" spans="1:2" ht="12.75" customHeight="1">
      <c r="A4" s="66"/>
      <c r="B4" s="67"/>
    </row>
    <row r="5" spans="1:2" ht="12.75" customHeight="1">
      <c r="A5" s="66"/>
      <c r="B5" s="67"/>
    </row>
    <row r="6" spans="1:2" ht="12.75">
      <c r="A6" s="66"/>
      <c r="B6" s="67"/>
    </row>
    <row r="8" ht="12.75">
      <c r="H8" s="231"/>
    </row>
    <row r="9" spans="1:7" ht="12.75">
      <c r="A9" s="150"/>
      <c r="B9" s="151"/>
      <c r="C9" s="150"/>
      <c r="D9" s="152"/>
      <c r="G9" s="150"/>
    </row>
    <row r="10" spans="1:3" ht="12.75">
      <c r="A10" s="153"/>
      <c r="B10" s="151"/>
      <c r="C10" s="150"/>
    </row>
    <row r="11" spans="2:3" ht="12.75">
      <c r="B11" s="151"/>
      <c r="C11" s="150"/>
    </row>
    <row r="13" spans="1:23" s="232" customFormat="1" ht="12.75">
      <c r="A13" s="82"/>
      <c r="B13" s="82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3" s="232" customFormat="1" ht="12.75">
      <c r="A14" s="128" t="s">
        <v>27</v>
      </c>
      <c r="B14" s="128"/>
      <c r="C14" s="128"/>
      <c r="D14" s="128"/>
      <c r="E14" s="128"/>
      <c r="F14" s="128"/>
      <c r="G14" s="128"/>
      <c r="H14" s="128"/>
      <c r="I14" s="128" t="s">
        <v>28</v>
      </c>
      <c r="J14" s="128"/>
      <c r="K14" s="128"/>
      <c r="L14" s="128"/>
      <c r="M14" s="128"/>
      <c r="N14" s="128"/>
      <c r="O14" s="128"/>
      <c r="P14" s="128"/>
      <c r="Q14" s="128" t="s">
        <v>32</v>
      </c>
      <c r="R14" s="128"/>
      <c r="S14" s="128"/>
      <c r="T14" s="128"/>
      <c r="U14" s="128"/>
      <c r="V14" s="128"/>
      <c r="W14" s="128"/>
    </row>
    <row r="15" spans="1:18" ht="12.75">
      <c r="A15" s="155" t="s">
        <v>0</v>
      </c>
      <c r="B15" s="156" t="s">
        <v>1</v>
      </c>
      <c r="E15" s="136"/>
      <c r="F15" s="136"/>
      <c r="G15" s="136"/>
      <c r="H15" s="136"/>
      <c r="I15" s="155" t="s">
        <v>0</v>
      </c>
      <c r="J15" s="156" t="s">
        <v>1</v>
      </c>
      <c r="M15" s="136"/>
      <c r="N15" s="136"/>
      <c r="O15" s="136"/>
      <c r="Q15" s="128" t="str">
        <f>+A15</f>
        <v>125 Hz</v>
      </c>
      <c r="R15" s="128" t="str">
        <f>+B15</f>
        <v>octave</v>
      </c>
    </row>
    <row r="16" spans="1:23" ht="12.75">
      <c r="A16" s="142"/>
      <c r="B16" s="140" t="s">
        <v>2</v>
      </c>
      <c r="C16" s="140" t="s">
        <v>3</v>
      </c>
      <c r="D16" s="139" t="s">
        <v>4</v>
      </c>
      <c r="E16" s="139" t="s">
        <v>5</v>
      </c>
      <c r="F16" s="140" t="s">
        <v>6</v>
      </c>
      <c r="G16" s="139" t="s">
        <v>7</v>
      </c>
      <c r="H16" s="141"/>
      <c r="I16" s="142"/>
      <c r="J16" s="140" t="s">
        <v>2</v>
      </c>
      <c r="K16" s="140" t="s">
        <v>3</v>
      </c>
      <c r="L16" s="139" t="s">
        <v>4</v>
      </c>
      <c r="M16" s="139" t="s">
        <v>5</v>
      </c>
      <c r="N16" s="140" t="s">
        <v>6</v>
      </c>
      <c r="O16" s="139" t="s">
        <v>7</v>
      </c>
      <c r="P16" s="157"/>
      <c r="Q16" s="128">
        <f>+A16</f>
        <v>0</v>
      </c>
      <c r="R16" s="128" t="str">
        <f>+B16</f>
        <v>S1R1</v>
      </c>
      <c r="S16" s="128" t="str">
        <f>+C16</f>
        <v>S1R2</v>
      </c>
      <c r="T16" s="128" t="str">
        <f>+D16</f>
        <v>S1R3</v>
      </c>
      <c r="U16" s="128" t="str">
        <f>+E16</f>
        <v>S2R1</v>
      </c>
      <c r="V16" s="128" t="str">
        <f>+F16</f>
        <v>S2R2</v>
      </c>
      <c r="W16" s="128" t="str">
        <f>+G16</f>
        <v>S2R3</v>
      </c>
    </row>
    <row r="17" spans="1:23" ht="12.75">
      <c r="A17" s="130" t="s">
        <v>8</v>
      </c>
      <c r="B17" s="145">
        <v>0.874918</v>
      </c>
      <c r="C17" s="143">
        <v>0.866175</v>
      </c>
      <c r="D17" s="143">
        <v>0.871742</v>
      </c>
      <c r="E17" s="125">
        <v>0.868901</v>
      </c>
      <c r="F17" s="143">
        <v>0.86803</v>
      </c>
      <c r="G17" s="144">
        <v>0.868788</v>
      </c>
      <c r="H17" s="125"/>
      <c r="I17" s="130" t="s">
        <v>8</v>
      </c>
      <c r="J17" s="145">
        <v>0.838254</v>
      </c>
      <c r="K17" s="143">
        <v>0.831201</v>
      </c>
      <c r="L17" s="143">
        <v>0.835867</v>
      </c>
      <c r="M17" s="125">
        <v>0.833483</v>
      </c>
      <c r="N17" s="143">
        <v>0.833527</v>
      </c>
      <c r="O17" s="144">
        <v>0.834662</v>
      </c>
      <c r="P17" s="158"/>
      <c r="Q17" s="128" t="str">
        <f aca="true" t="shared" si="0" ref="Q17:Q25">+A17</f>
        <v>T30/s</v>
      </c>
      <c r="R17" s="127">
        <f aca="true" t="shared" si="1" ref="R17:W25">+B17-J17</f>
        <v>0.03666399999999992</v>
      </c>
      <c r="S17" s="127">
        <f t="shared" si="1"/>
        <v>0.03497400000000006</v>
      </c>
      <c r="T17" s="127">
        <f t="shared" si="1"/>
        <v>0.03587499999999999</v>
      </c>
      <c r="U17" s="127">
        <f t="shared" si="1"/>
        <v>0.03541800000000006</v>
      </c>
      <c r="V17" s="127">
        <f t="shared" si="1"/>
        <v>0.03450299999999995</v>
      </c>
      <c r="W17" s="127">
        <f t="shared" si="1"/>
        <v>0.03412599999999999</v>
      </c>
    </row>
    <row r="18" spans="1:23" ht="12.75">
      <c r="A18" s="130" t="s">
        <v>9</v>
      </c>
      <c r="B18" s="131">
        <v>0.87778</v>
      </c>
      <c r="C18" s="125">
        <v>0.851468</v>
      </c>
      <c r="D18" s="125">
        <v>0.892484</v>
      </c>
      <c r="E18" s="125">
        <v>0.847178</v>
      </c>
      <c r="F18" s="125">
        <v>0.865109</v>
      </c>
      <c r="G18" s="129">
        <v>0.837602</v>
      </c>
      <c r="H18" s="125"/>
      <c r="I18" s="130" t="s">
        <v>9</v>
      </c>
      <c r="J18" s="131">
        <v>0.833931</v>
      </c>
      <c r="K18" s="125">
        <v>0.816646</v>
      </c>
      <c r="L18" s="125">
        <v>0.842992</v>
      </c>
      <c r="M18" s="125">
        <v>0.8153</v>
      </c>
      <c r="N18" s="125">
        <v>0.833676</v>
      </c>
      <c r="O18" s="129">
        <v>0.807947</v>
      </c>
      <c r="P18" s="158"/>
      <c r="Q18" s="128" t="str">
        <f t="shared" si="0"/>
        <v>EDT/s</v>
      </c>
      <c r="R18" s="127">
        <f t="shared" si="1"/>
        <v>0.04384900000000003</v>
      </c>
      <c r="S18" s="127">
        <f t="shared" si="1"/>
        <v>0.03482200000000002</v>
      </c>
      <c r="T18" s="127">
        <f t="shared" si="1"/>
        <v>0.04949200000000009</v>
      </c>
      <c r="U18" s="127">
        <f t="shared" si="1"/>
        <v>0.03187799999999996</v>
      </c>
      <c r="V18" s="127">
        <f t="shared" si="1"/>
        <v>0.031433000000000044</v>
      </c>
      <c r="W18" s="127">
        <f t="shared" si="1"/>
        <v>0.029654999999999987</v>
      </c>
    </row>
    <row r="19" spans="1:23" ht="12.75">
      <c r="A19" s="130" t="s">
        <v>10</v>
      </c>
      <c r="B19" s="131">
        <v>51.664757</v>
      </c>
      <c r="C19" s="125">
        <v>57.708675</v>
      </c>
      <c r="D19" s="125">
        <v>47.431881</v>
      </c>
      <c r="E19" s="125">
        <v>60.287086</v>
      </c>
      <c r="F19" s="125">
        <v>50.59478</v>
      </c>
      <c r="G19" s="129">
        <v>60.590256</v>
      </c>
      <c r="H19" s="125"/>
      <c r="I19" s="130" t="s">
        <v>10</v>
      </c>
      <c r="J19" s="131">
        <v>53.559814</v>
      </c>
      <c r="K19" s="125">
        <v>59.551525</v>
      </c>
      <c r="L19" s="125">
        <v>49.215294</v>
      </c>
      <c r="M19" s="125">
        <v>61.148792</v>
      </c>
      <c r="N19" s="125">
        <v>51.92947</v>
      </c>
      <c r="O19" s="129">
        <v>61.271046</v>
      </c>
      <c r="P19" s="158"/>
      <c r="Q19" s="128" t="str">
        <f t="shared" si="0"/>
        <v>D/%</v>
      </c>
      <c r="R19" s="127">
        <f t="shared" si="1"/>
        <v>-1.8950570000000013</v>
      </c>
      <c r="S19" s="127">
        <f t="shared" si="1"/>
        <v>-1.8428499999999985</v>
      </c>
      <c r="T19" s="127">
        <f t="shared" si="1"/>
        <v>-1.783413000000003</v>
      </c>
      <c r="U19" s="127">
        <f t="shared" si="1"/>
        <v>-0.8617059999999981</v>
      </c>
      <c r="V19" s="127">
        <f t="shared" si="1"/>
        <v>-1.334690000000002</v>
      </c>
      <c r="W19" s="127">
        <f t="shared" si="1"/>
        <v>-0.6807900000000018</v>
      </c>
    </row>
    <row r="20" spans="1:23" ht="12.75">
      <c r="A20" s="130" t="s">
        <v>11</v>
      </c>
      <c r="B20" s="131">
        <v>3.643079</v>
      </c>
      <c r="C20" s="125">
        <v>4.519126</v>
      </c>
      <c r="D20" s="125">
        <v>2.959269</v>
      </c>
      <c r="E20" s="125">
        <v>4.819535</v>
      </c>
      <c r="F20" s="125">
        <v>3.435449</v>
      </c>
      <c r="G20" s="129">
        <v>4.919723</v>
      </c>
      <c r="H20" s="125"/>
      <c r="I20" s="130" t="s">
        <v>11</v>
      </c>
      <c r="J20" s="131">
        <v>3.996686</v>
      </c>
      <c r="K20" s="125">
        <v>4.819385</v>
      </c>
      <c r="L20" s="125">
        <v>3.31578</v>
      </c>
      <c r="M20" s="125">
        <v>5.042305</v>
      </c>
      <c r="N20" s="125">
        <v>3.722529</v>
      </c>
      <c r="O20" s="129">
        <v>5.186599</v>
      </c>
      <c r="P20" s="158"/>
      <c r="Q20" s="128" t="str">
        <f t="shared" si="0"/>
        <v>C/dB</v>
      </c>
      <c r="R20" s="127">
        <f t="shared" si="1"/>
        <v>-0.3536069999999998</v>
      </c>
      <c r="S20" s="127">
        <f t="shared" si="1"/>
        <v>-0.3002589999999996</v>
      </c>
      <c r="T20" s="127">
        <f t="shared" si="1"/>
        <v>-0.35651100000000024</v>
      </c>
      <c r="U20" s="127">
        <f t="shared" si="1"/>
        <v>-0.2227699999999997</v>
      </c>
      <c r="V20" s="127">
        <f t="shared" si="1"/>
        <v>-0.28708</v>
      </c>
      <c r="W20" s="127">
        <f t="shared" si="1"/>
        <v>-0.2668759999999999</v>
      </c>
    </row>
    <row r="21" spans="1:23" ht="12.75">
      <c r="A21" s="130" t="s">
        <v>12</v>
      </c>
      <c r="B21" s="131">
        <v>67.841476</v>
      </c>
      <c r="C21" s="125">
        <v>59.089897</v>
      </c>
      <c r="D21" s="125">
        <v>73.315704</v>
      </c>
      <c r="E21" s="125">
        <v>57.374802</v>
      </c>
      <c r="F21" s="125">
        <v>68.842201</v>
      </c>
      <c r="G21" s="129">
        <v>57.213081</v>
      </c>
      <c r="H21" s="125"/>
      <c r="I21" s="130" t="s">
        <v>12</v>
      </c>
      <c r="J21" s="131">
        <v>65.042854</v>
      </c>
      <c r="K21" s="125">
        <v>56.754166</v>
      </c>
      <c r="L21" s="125">
        <v>70.388962</v>
      </c>
      <c r="M21" s="125">
        <v>55.501812</v>
      </c>
      <c r="N21" s="125">
        <v>66.498413</v>
      </c>
      <c r="O21" s="129">
        <v>55.558495</v>
      </c>
      <c r="P21" s="158"/>
      <c r="Q21" s="128" t="str">
        <f t="shared" si="0"/>
        <v>TS/ms</v>
      </c>
      <c r="R21" s="127">
        <f t="shared" si="1"/>
        <v>2.7986219999999946</v>
      </c>
      <c r="S21" s="127">
        <f t="shared" si="1"/>
        <v>2.3357310000000027</v>
      </c>
      <c r="T21" s="127">
        <f t="shared" si="1"/>
        <v>2.92674199999999</v>
      </c>
      <c r="U21" s="127">
        <f t="shared" si="1"/>
        <v>1.8729900000000015</v>
      </c>
      <c r="V21" s="127">
        <f t="shared" si="1"/>
        <v>2.3437880000000035</v>
      </c>
      <c r="W21" s="127">
        <f t="shared" si="1"/>
        <v>1.6545860000000019</v>
      </c>
    </row>
    <row r="22" spans="1:23" ht="12.75">
      <c r="A22" s="130" t="s">
        <v>13</v>
      </c>
      <c r="B22" s="131">
        <v>18.329586</v>
      </c>
      <c r="C22" s="125">
        <v>19.125961</v>
      </c>
      <c r="D22" s="125">
        <v>18.038483</v>
      </c>
      <c r="E22" s="125">
        <v>19.406826</v>
      </c>
      <c r="F22" s="125">
        <v>18.204695</v>
      </c>
      <c r="G22" s="129">
        <v>19.535887</v>
      </c>
      <c r="H22" s="125"/>
      <c r="I22" s="130" t="s">
        <v>13</v>
      </c>
      <c r="J22" s="131">
        <v>18.305012</v>
      </c>
      <c r="K22" s="125">
        <v>19.041088</v>
      </c>
      <c r="L22" s="125">
        <v>18.063955</v>
      </c>
      <c r="M22" s="125">
        <v>19.353868</v>
      </c>
      <c r="N22" s="125">
        <v>18.169792</v>
      </c>
      <c r="O22" s="129">
        <v>19.484957</v>
      </c>
      <c r="P22" s="158"/>
      <c r="Q22" s="128" t="str">
        <f t="shared" si="0"/>
        <v>G/dB</v>
      </c>
      <c r="R22" s="127">
        <f t="shared" si="1"/>
        <v>0.024573999999997653</v>
      </c>
      <c r="S22" s="127">
        <f t="shared" si="1"/>
        <v>0.08487300000000175</v>
      </c>
      <c r="T22" s="127">
        <f t="shared" si="1"/>
        <v>-0.025472000000000605</v>
      </c>
      <c r="U22" s="127">
        <f t="shared" si="1"/>
        <v>0.05295800000000028</v>
      </c>
      <c r="V22" s="127">
        <f t="shared" si="1"/>
        <v>0.034902999999999906</v>
      </c>
      <c r="W22" s="127">
        <f t="shared" si="1"/>
        <v>0.05092999999999748</v>
      </c>
    </row>
    <row r="23" spans="1:23" ht="12.75">
      <c r="A23" s="130" t="s">
        <v>14</v>
      </c>
      <c r="B23" s="131">
        <v>27.451647</v>
      </c>
      <c r="C23" s="125">
        <v>20.691</v>
      </c>
      <c r="D23" s="125">
        <v>25.670494</v>
      </c>
      <c r="E23" s="125">
        <v>22.332846</v>
      </c>
      <c r="F23" s="125">
        <v>26.217159</v>
      </c>
      <c r="G23" s="129">
        <v>24.880869</v>
      </c>
      <c r="H23" s="125"/>
      <c r="I23" s="130" t="s">
        <v>14</v>
      </c>
      <c r="J23" s="131">
        <v>26.461744</v>
      </c>
      <c r="K23" s="125">
        <v>20.34927</v>
      </c>
      <c r="L23" s="125">
        <v>26.753345</v>
      </c>
      <c r="M23" s="125">
        <v>21.839411</v>
      </c>
      <c r="N23" s="125">
        <v>25.871208</v>
      </c>
      <c r="O23" s="129">
        <v>24.620016</v>
      </c>
      <c r="Q23" s="128" t="str">
        <f t="shared" si="0"/>
        <v>LF/%</v>
      </c>
      <c r="R23" s="127">
        <f t="shared" si="1"/>
        <v>0.9899030000000018</v>
      </c>
      <c r="S23" s="127">
        <f t="shared" si="1"/>
        <v>0.3417299999999983</v>
      </c>
      <c r="T23" s="127">
        <f t="shared" si="1"/>
        <v>-1.082850999999998</v>
      </c>
      <c r="U23" s="127">
        <f t="shared" si="1"/>
        <v>0.4934350000000016</v>
      </c>
      <c r="V23" s="127">
        <f t="shared" si="1"/>
        <v>0.34595099999999945</v>
      </c>
      <c r="W23" s="127">
        <f t="shared" si="1"/>
        <v>0.2608530000000009</v>
      </c>
    </row>
    <row r="24" spans="1:23" ht="12.75">
      <c r="A24" s="130" t="s">
        <v>15</v>
      </c>
      <c r="B24" s="131">
        <v>38.804272</v>
      </c>
      <c r="C24" s="125">
        <v>31.482584</v>
      </c>
      <c r="D24" s="125">
        <v>39.207005</v>
      </c>
      <c r="E24" s="125">
        <v>33.264462</v>
      </c>
      <c r="F24" s="125">
        <v>38.781376</v>
      </c>
      <c r="G24" s="129">
        <v>36.680859</v>
      </c>
      <c r="H24" s="125"/>
      <c r="I24" s="130" t="s">
        <v>15</v>
      </c>
      <c r="J24" s="131">
        <v>38.177685</v>
      </c>
      <c r="K24" s="125">
        <v>31.276215</v>
      </c>
      <c r="L24" s="125">
        <v>40.217636</v>
      </c>
      <c r="M24" s="125">
        <v>32.803169</v>
      </c>
      <c r="N24" s="125">
        <v>38.527042</v>
      </c>
      <c r="O24" s="129">
        <v>36.634266</v>
      </c>
      <c r="Q24" s="128" t="str">
        <f t="shared" si="0"/>
        <v>LFC/%</v>
      </c>
      <c r="R24" s="127">
        <f t="shared" si="1"/>
        <v>0.6265870000000007</v>
      </c>
      <c r="S24" s="127">
        <f t="shared" si="1"/>
        <v>0.2063689999999987</v>
      </c>
      <c r="T24" s="127">
        <f t="shared" si="1"/>
        <v>-1.0106309999999965</v>
      </c>
      <c r="U24" s="127">
        <f t="shared" si="1"/>
        <v>0.46129300000000484</v>
      </c>
      <c r="V24" s="127">
        <f t="shared" si="1"/>
        <v>0.25433400000000006</v>
      </c>
      <c r="W24" s="127">
        <f t="shared" si="1"/>
        <v>0.04659300000000144</v>
      </c>
    </row>
    <row r="25" spans="1:23" ht="12.75">
      <c r="A25" s="134" t="s">
        <v>16</v>
      </c>
      <c r="B25" s="135"/>
      <c r="C25" s="132"/>
      <c r="D25" s="132"/>
      <c r="E25" s="132"/>
      <c r="F25" s="132"/>
      <c r="G25" s="133"/>
      <c r="H25" s="125"/>
      <c r="I25" s="134" t="s">
        <v>16</v>
      </c>
      <c r="J25" s="135"/>
      <c r="K25" s="132"/>
      <c r="L25" s="132"/>
      <c r="M25" s="132"/>
      <c r="N25" s="132"/>
      <c r="O25" s="133"/>
      <c r="Q25" s="128" t="str">
        <f t="shared" si="0"/>
        <v>IACC</v>
      </c>
      <c r="R25" s="127">
        <f t="shared" si="1"/>
        <v>0</v>
      </c>
      <c r="S25" s="127">
        <f t="shared" si="1"/>
        <v>0</v>
      </c>
      <c r="T25" s="127">
        <f t="shared" si="1"/>
        <v>0</v>
      </c>
      <c r="U25" s="127">
        <f t="shared" si="1"/>
        <v>0</v>
      </c>
      <c r="V25" s="127">
        <f t="shared" si="1"/>
        <v>0</v>
      </c>
      <c r="W25" s="127">
        <f t="shared" si="1"/>
        <v>0</v>
      </c>
    </row>
    <row r="26" spans="5:15" ht="12.75">
      <c r="E26" s="136"/>
      <c r="F26" s="136"/>
      <c r="G26" s="136"/>
      <c r="H26" s="136"/>
      <c r="M26" s="136"/>
      <c r="N26" s="136"/>
      <c r="O26" s="136"/>
    </row>
    <row r="27" spans="1:18" ht="12.75">
      <c r="A27" s="155" t="s">
        <v>17</v>
      </c>
      <c r="B27" s="156" t="s">
        <v>1</v>
      </c>
      <c r="E27" s="136"/>
      <c r="F27" s="136"/>
      <c r="G27" s="136"/>
      <c r="H27" s="136"/>
      <c r="I27" s="155" t="s">
        <v>17</v>
      </c>
      <c r="J27" s="156" t="s">
        <v>1</v>
      </c>
      <c r="M27" s="136"/>
      <c r="N27" s="136"/>
      <c r="O27" s="136"/>
      <c r="Q27" s="128" t="str">
        <f>+A27</f>
        <v>250 Hz</v>
      </c>
      <c r="R27" s="128" t="str">
        <f>+B27</f>
        <v>octave</v>
      </c>
    </row>
    <row r="28" spans="1:23" ht="12.75">
      <c r="A28" s="142"/>
      <c r="B28" s="140" t="s">
        <v>2</v>
      </c>
      <c r="C28" s="140" t="s">
        <v>3</v>
      </c>
      <c r="D28" s="139" t="s">
        <v>4</v>
      </c>
      <c r="E28" s="139" t="s">
        <v>5</v>
      </c>
      <c r="F28" s="140" t="s">
        <v>6</v>
      </c>
      <c r="G28" s="139" t="s">
        <v>7</v>
      </c>
      <c r="H28" s="141"/>
      <c r="I28" s="142"/>
      <c r="J28" s="140" t="s">
        <v>2</v>
      </c>
      <c r="K28" s="140" t="s">
        <v>3</v>
      </c>
      <c r="L28" s="139" t="s">
        <v>4</v>
      </c>
      <c r="M28" s="139" t="s">
        <v>5</v>
      </c>
      <c r="N28" s="140" t="s">
        <v>6</v>
      </c>
      <c r="O28" s="139" t="s">
        <v>7</v>
      </c>
      <c r="Q28" s="128">
        <f>+A28</f>
        <v>0</v>
      </c>
      <c r="R28" s="128" t="str">
        <f>+B28</f>
        <v>S1R1</v>
      </c>
      <c r="S28" s="128" t="str">
        <f>+C28</f>
        <v>S1R2</v>
      </c>
      <c r="T28" s="128" t="str">
        <f>+D28</f>
        <v>S1R3</v>
      </c>
      <c r="U28" s="128" t="str">
        <f>+E28</f>
        <v>S2R1</v>
      </c>
      <c r="V28" s="128" t="str">
        <f>+F28</f>
        <v>S2R2</v>
      </c>
      <c r="W28" s="128" t="str">
        <f>+G28</f>
        <v>S2R3</v>
      </c>
    </row>
    <row r="29" spans="1:23" ht="12.75">
      <c r="A29" s="130" t="s">
        <v>8</v>
      </c>
      <c r="B29" s="145">
        <v>1.085281</v>
      </c>
      <c r="C29" s="143">
        <v>1.078903</v>
      </c>
      <c r="D29" s="143">
        <v>1.082863</v>
      </c>
      <c r="E29" s="125">
        <v>1.081507</v>
      </c>
      <c r="F29" s="143">
        <v>1.080909</v>
      </c>
      <c r="G29" s="144">
        <v>1.081285</v>
      </c>
      <c r="H29" s="125"/>
      <c r="I29" s="130" t="s">
        <v>8</v>
      </c>
      <c r="J29" s="145">
        <v>0.90396</v>
      </c>
      <c r="K29" s="143">
        <v>0.9002</v>
      </c>
      <c r="L29" s="143">
        <v>0.902979</v>
      </c>
      <c r="M29" s="125">
        <v>0.901416</v>
      </c>
      <c r="N29" s="143">
        <v>0.902324</v>
      </c>
      <c r="O29" s="144">
        <v>0.902877</v>
      </c>
      <c r="Q29" s="128" t="str">
        <f aca="true" t="shared" si="2" ref="Q29:Q37">+A29</f>
        <v>T30/s</v>
      </c>
      <c r="R29" s="127">
        <f aca="true" t="shared" si="3" ref="R29:W37">+B29-J29</f>
        <v>0.18132099999999995</v>
      </c>
      <c r="S29" s="127">
        <f t="shared" si="3"/>
        <v>0.17870299999999995</v>
      </c>
      <c r="T29" s="127">
        <f t="shared" si="3"/>
        <v>0.17988399999999993</v>
      </c>
      <c r="U29" s="127">
        <f t="shared" si="3"/>
        <v>0.180091</v>
      </c>
      <c r="V29" s="127">
        <f t="shared" si="3"/>
        <v>0.17858499999999988</v>
      </c>
      <c r="W29" s="127">
        <f t="shared" si="3"/>
        <v>0.178408</v>
      </c>
    </row>
    <row r="30" spans="1:23" ht="12.75">
      <c r="A30" s="130" t="s">
        <v>9</v>
      </c>
      <c r="B30" s="131">
        <v>1.098834</v>
      </c>
      <c r="C30" s="125">
        <v>1.055125</v>
      </c>
      <c r="D30" s="125">
        <v>1.108144</v>
      </c>
      <c r="E30" s="125">
        <v>1.062199</v>
      </c>
      <c r="F30" s="125">
        <v>1.080999</v>
      </c>
      <c r="G30" s="129">
        <v>1.054471</v>
      </c>
      <c r="H30" s="125"/>
      <c r="I30" s="130" t="s">
        <v>9</v>
      </c>
      <c r="J30" s="131">
        <v>0.895515</v>
      </c>
      <c r="K30" s="125">
        <v>0.877585</v>
      </c>
      <c r="L30" s="125">
        <v>0.909721</v>
      </c>
      <c r="M30" s="125">
        <v>0.877478</v>
      </c>
      <c r="N30" s="125">
        <v>0.904321</v>
      </c>
      <c r="O30" s="129">
        <v>0.874689</v>
      </c>
      <c r="Q30" s="128" t="str">
        <f t="shared" si="2"/>
        <v>EDT/s</v>
      </c>
      <c r="R30" s="127">
        <f t="shared" si="3"/>
        <v>0.20331900000000014</v>
      </c>
      <c r="S30" s="127">
        <f t="shared" si="3"/>
        <v>0.17754000000000014</v>
      </c>
      <c r="T30" s="127">
        <f t="shared" si="3"/>
        <v>0.19842300000000002</v>
      </c>
      <c r="U30" s="127">
        <f t="shared" si="3"/>
        <v>0.1847209999999999</v>
      </c>
      <c r="V30" s="127">
        <f t="shared" si="3"/>
        <v>0.176678</v>
      </c>
      <c r="W30" s="127">
        <f t="shared" si="3"/>
        <v>0.1797819999999999</v>
      </c>
    </row>
    <row r="31" spans="1:23" ht="12.75">
      <c r="A31" s="130" t="s">
        <v>10</v>
      </c>
      <c r="B31" s="131">
        <v>44.090664</v>
      </c>
      <c r="C31" s="125">
        <v>50.439861</v>
      </c>
      <c r="D31" s="125">
        <v>39.644444</v>
      </c>
      <c r="E31" s="125">
        <v>52.81226</v>
      </c>
      <c r="F31" s="125">
        <v>42.742687</v>
      </c>
      <c r="G31" s="129">
        <v>52.833744</v>
      </c>
      <c r="H31" s="125"/>
      <c r="I31" s="130" t="s">
        <v>10</v>
      </c>
      <c r="J31" s="131">
        <v>51.304493</v>
      </c>
      <c r="K31" s="125">
        <v>57.32621</v>
      </c>
      <c r="L31" s="125">
        <v>46.272442</v>
      </c>
      <c r="M31" s="125">
        <v>58.781612</v>
      </c>
      <c r="N31" s="125">
        <v>48.740932</v>
      </c>
      <c r="O31" s="129">
        <v>58.302338</v>
      </c>
      <c r="Q31" s="128" t="str">
        <f t="shared" si="2"/>
        <v>D/%</v>
      </c>
      <c r="R31" s="127">
        <f t="shared" si="3"/>
        <v>-7.213829000000004</v>
      </c>
      <c r="S31" s="127">
        <f t="shared" si="3"/>
        <v>-6.886349000000003</v>
      </c>
      <c r="T31" s="127">
        <f t="shared" si="3"/>
        <v>-6.627997999999998</v>
      </c>
      <c r="U31" s="127">
        <f t="shared" si="3"/>
        <v>-5.969352000000001</v>
      </c>
      <c r="V31" s="127">
        <f t="shared" si="3"/>
        <v>-5.998245000000004</v>
      </c>
      <c r="W31" s="127">
        <f t="shared" si="3"/>
        <v>-5.468593999999996</v>
      </c>
    </row>
    <row r="32" spans="1:23" ht="12.75">
      <c r="A32" s="130" t="s">
        <v>11</v>
      </c>
      <c r="B32" s="131">
        <v>2.047959</v>
      </c>
      <c r="C32" s="125">
        <v>2.970508</v>
      </c>
      <c r="D32" s="125">
        <v>1.359831</v>
      </c>
      <c r="E32" s="125">
        <v>3.224709</v>
      </c>
      <c r="F32" s="125">
        <v>1.826341</v>
      </c>
      <c r="G32" s="129">
        <v>3.253978</v>
      </c>
      <c r="H32" s="125"/>
      <c r="I32" s="130" t="s">
        <v>11</v>
      </c>
      <c r="J32" s="131">
        <v>3.49029</v>
      </c>
      <c r="K32" s="125">
        <v>4.308692</v>
      </c>
      <c r="L32" s="125">
        <v>2.73049</v>
      </c>
      <c r="M32" s="125">
        <v>4.520575</v>
      </c>
      <c r="N32" s="125">
        <v>3.054873</v>
      </c>
      <c r="O32" s="129">
        <v>4.526405</v>
      </c>
      <c r="Q32" s="128" t="str">
        <f t="shared" si="2"/>
        <v>C/dB</v>
      </c>
      <c r="R32" s="127">
        <f t="shared" si="3"/>
        <v>-1.4423309999999998</v>
      </c>
      <c r="S32" s="127">
        <f t="shared" si="3"/>
        <v>-1.3381839999999996</v>
      </c>
      <c r="T32" s="127">
        <f t="shared" si="3"/>
        <v>-1.370659</v>
      </c>
      <c r="U32" s="127">
        <f t="shared" si="3"/>
        <v>-1.2958660000000002</v>
      </c>
      <c r="V32" s="127">
        <f t="shared" si="3"/>
        <v>-1.2285320000000002</v>
      </c>
      <c r="W32" s="127">
        <f t="shared" si="3"/>
        <v>-1.2724269999999995</v>
      </c>
    </row>
    <row r="33" spans="1:23" ht="12.75">
      <c r="A33" s="130" t="s">
        <v>12</v>
      </c>
      <c r="B33" s="131">
        <v>83.723389</v>
      </c>
      <c r="C33" s="125">
        <v>73.550995</v>
      </c>
      <c r="D33" s="125">
        <v>89.79039</v>
      </c>
      <c r="E33" s="125">
        <v>71.709938</v>
      </c>
      <c r="F33" s="125">
        <v>84.920784</v>
      </c>
      <c r="G33" s="129">
        <v>72.004639</v>
      </c>
      <c r="H33" s="125"/>
      <c r="I33" s="130" t="s">
        <v>12</v>
      </c>
      <c r="J33" s="131">
        <v>69.285995</v>
      </c>
      <c r="K33" s="125">
        <v>60.940807</v>
      </c>
      <c r="L33" s="125">
        <v>75.456345</v>
      </c>
      <c r="M33" s="125">
        <v>59.573708</v>
      </c>
      <c r="N33" s="125">
        <v>72.080002</v>
      </c>
      <c r="O33" s="129">
        <v>60.543236</v>
      </c>
      <c r="Q33" s="128" t="str">
        <f t="shared" si="2"/>
        <v>TS/ms</v>
      </c>
      <c r="R33" s="127">
        <f t="shared" si="3"/>
        <v>14.437393999999998</v>
      </c>
      <c r="S33" s="127">
        <f t="shared" si="3"/>
        <v>12.610188</v>
      </c>
      <c r="T33" s="127">
        <f t="shared" si="3"/>
        <v>14.334045000000003</v>
      </c>
      <c r="U33" s="127">
        <f t="shared" si="3"/>
        <v>12.13622999999999</v>
      </c>
      <c r="V33" s="127">
        <f t="shared" si="3"/>
        <v>12.840782000000004</v>
      </c>
      <c r="W33" s="127">
        <f t="shared" si="3"/>
        <v>11.461402999999997</v>
      </c>
    </row>
    <row r="34" spans="1:23" ht="12.75">
      <c r="A34" s="130" t="s">
        <v>13</v>
      </c>
      <c r="B34" s="131">
        <v>19.221733</v>
      </c>
      <c r="C34" s="125">
        <v>20.011044</v>
      </c>
      <c r="D34" s="125">
        <v>19.060877</v>
      </c>
      <c r="E34" s="125">
        <v>20.187252</v>
      </c>
      <c r="F34" s="125">
        <v>19.212006</v>
      </c>
      <c r="G34" s="129">
        <v>20.34939</v>
      </c>
      <c r="H34" s="125"/>
      <c r="I34" s="130" t="s">
        <v>13</v>
      </c>
      <c r="J34" s="131">
        <v>18.444674</v>
      </c>
      <c r="K34" s="125">
        <v>19.375608</v>
      </c>
      <c r="L34" s="125">
        <v>18.430882</v>
      </c>
      <c r="M34" s="125">
        <v>19.497894</v>
      </c>
      <c r="N34" s="125">
        <v>18.592281</v>
      </c>
      <c r="O34" s="129">
        <v>19.841179</v>
      </c>
      <c r="Q34" s="128" t="str">
        <f t="shared" si="2"/>
        <v>G/dB</v>
      </c>
      <c r="R34" s="127">
        <f t="shared" si="3"/>
        <v>0.7770590000000013</v>
      </c>
      <c r="S34" s="127">
        <f t="shared" si="3"/>
        <v>0.6354359999999986</v>
      </c>
      <c r="T34" s="127">
        <f t="shared" si="3"/>
        <v>0.629995000000001</v>
      </c>
      <c r="U34" s="127">
        <f t="shared" si="3"/>
        <v>0.6893580000000021</v>
      </c>
      <c r="V34" s="127">
        <f t="shared" si="3"/>
        <v>0.619724999999999</v>
      </c>
      <c r="W34" s="127">
        <f t="shared" si="3"/>
        <v>0.5082109999999993</v>
      </c>
    </row>
    <row r="35" spans="1:23" ht="12.75">
      <c r="A35" s="130" t="s">
        <v>14</v>
      </c>
      <c r="B35" s="131">
        <v>27.742222</v>
      </c>
      <c r="C35" s="125">
        <v>21.683901</v>
      </c>
      <c r="D35" s="125">
        <v>25.652925</v>
      </c>
      <c r="E35" s="125">
        <v>23.006573</v>
      </c>
      <c r="F35" s="125">
        <v>26.501825</v>
      </c>
      <c r="G35" s="129">
        <v>25.296513</v>
      </c>
      <c r="H35" s="125"/>
      <c r="I35" s="130" t="s">
        <v>14</v>
      </c>
      <c r="J35" s="131">
        <v>25.321323</v>
      </c>
      <c r="K35" s="125">
        <v>20.939671</v>
      </c>
      <c r="L35" s="125">
        <v>26.557241</v>
      </c>
      <c r="M35" s="125">
        <v>21.15185</v>
      </c>
      <c r="N35" s="125">
        <v>25.185555</v>
      </c>
      <c r="O35" s="129">
        <v>24.379759</v>
      </c>
      <c r="Q35" s="128" t="str">
        <f t="shared" si="2"/>
        <v>LF/%</v>
      </c>
      <c r="R35" s="127">
        <f t="shared" si="3"/>
        <v>2.420899000000002</v>
      </c>
      <c r="S35" s="127">
        <f t="shared" si="3"/>
        <v>0.7442299999999982</v>
      </c>
      <c r="T35" s="127">
        <f t="shared" si="3"/>
        <v>-0.9043160000000015</v>
      </c>
      <c r="U35" s="127">
        <f t="shared" si="3"/>
        <v>1.854723</v>
      </c>
      <c r="V35" s="127">
        <f t="shared" si="3"/>
        <v>1.3162699999999994</v>
      </c>
      <c r="W35" s="127">
        <f t="shared" si="3"/>
        <v>0.916754000000001</v>
      </c>
    </row>
    <row r="36" spans="1:23" ht="12.75">
      <c r="A36" s="130" t="s">
        <v>15</v>
      </c>
      <c r="B36" s="131">
        <v>39.534115</v>
      </c>
      <c r="C36" s="125">
        <v>32.872356</v>
      </c>
      <c r="D36" s="125">
        <v>39.613262</v>
      </c>
      <c r="E36" s="125">
        <v>34.284645</v>
      </c>
      <c r="F36" s="125">
        <v>39.60363</v>
      </c>
      <c r="G36" s="129">
        <v>37.41843</v>
      </c>
      <c r="H36" s="125"/>
      <c r="I36" s="130" t="s">
        <v>15</v>
      </c>
      <c r="J36" s="131">
        <v>37.121098</v>
      </c>
      <c r="K36" s="125">
        <v>32.054852</v>
      </c>
      <c r="L36" s="125">
        <v>40.295532</v>
      </c>
      <c r="M36" s="125">
        <v>32.265297</v>
      </c>
      <c r="N36" s="125">
        <v>38.257771</v>
      </c>
      <c r="O36" s="129">
        <v>36.576027</v>
      </c>
      <c r="Q36" s="128" t="str">
        <f t="shared" si="2"/>
        <v>LFC/%</v>
      </c>
      <c r="R36" s="127">
        <f t="shared" si="3"/>
        <v>2.4130169999999964</v>
      </c>
      <c r="S36" s="127">
        <f t="shared" si="3"/>
        <v>0.8175040000000067</v>
      </c>
      <c r="T36" s="127">
        <f t="shared" si="3"/>
        <v>-0.6822700000000026</v>
      </c>
      <c r="U36" s="127">
        <f t="shared" si="3"/>
        <v>2.019348000000001</v>
      </c>
      <c r="V36" s="127">
        <f t="shared" si="3"/>
        <v>1.3458590000000044</v>
      </c>
      <c r="W36" s="127">
        <f t="shared" si="3"/>
        <v>0.8424029999999973</v>
      </c>
    </row>
    <row r="37" spans="1:23" ht="12.75">
      <c r="A37" s="134" t="s">
        <v>16</v>
      </c>
      <c r="B37" s="135"/>
      <c r="C37" s="132"/>
      <c r="D37" s="132"/>
      <c r="E37" s="132"/>
      <c r="F37" s="132"/>
      <c r="G37" s="133"/>
      <c r="H37" s="125"/>
      <c r="I37" s="134" t="s">
        <v>16</v>
      </c>
      <c r="J37" s="135"/>
      <c r="K37" s="132"/>
      <c r="L37" s="132"/>
      <c r="M37" s="132"/>
      <c r="N37" s="132"/>
      <c r="O37" s="133"/>
      <c r="Q37" s="128" t="str">
        <f t="shared" si="2"/>
        <v>IACC</v>
      </c>
      <c r="R37" s="127">
        <f t="shared" si="3"/>
        <v>0</v>
      </c>
      <c r="S37" s="127">
        <f t="shared" si="3"/>
        <v>0</v>
      </c>
      <c r="T37" s="127">
        <f t="shared" si="3"/>
        <v>0</v>
      </c>
      <c r="U37" s="127">
        <f t="shared" si="3"/>
        <v>0</v>
      </c>
      <c r="V37" s="127">
        <f t="shared" si="3"/>
        <v>0</v>
      </c>
      <c r="W37" s="127">
        <f t="shared" si="3"/>
        <v>0</v>
      </c>
    </row>
    <row r="38" spans="5:15" ht="12.75">
      <c r="E38" s="136"/>
      <c r="F38" s="136"/>
      <c r="G38" s="136"/>
      <c r="H38" s="136"/>
      <c r="M38" s="136"/>
      <c r="N38" s="136"/>
      <c r="O38" s="136"/>
    </row>
    <row r="39" spans="1:18" ht="12.75">
      <c r="A39" s="155" t="s">
        <v>18</v>
      </c>
      <c r="B39" s="156" t="s">
        <v>1</v>
      </c>
      <c r="E39" s="136"/>
      <c r="F39" s="136"/>
      <c r="G39" s="136"/>
      <c r="H39" s="136"/>
      <c r="I39" s="155" t="s">
        <v>18</v>
      </c>
      <c r="J39" s="156" t="s">
        <v>1</v>
      </c>
      <c r="M39" s="136"/>
      <c r="N39" s="136"/>
      <c r="O39" s="136"/>
      <c r="Q39" s="128" t="str">
        <f>+A39</f>
        <v>500 Hz</v>
      </c>
      <c r="R39" s="128" t="str">
        <f>+B39</f>
        <v>octave</v>
      </c>
    </row>
    <row r="40" spans="1:23" ht="12.75">
      <c r="A40" s="142"/>
      <c r="B40" s="140" t="s">
        <v>2</v>
      </c>
      <c r="C40" s="140" t="s">
        <v>3</v>
      </c>
      <c r="D40" s="139" t="s">
        <v>4</v>
      </c>
      <c r="E40" s="139" t="s">
        <v>5</v>
      </c>
      <c r="F40" s="140" t="s">
        <v>6</v>
      </c>
      <c r="G40" s="139" t="s">
        <v>7</v>
      </c>
      <c r="H40" s="141"/>
      <c r="I40" s="142"/>
      <c r="J40" s="140" t="s">
        <v>2</v>
      </c>
      <c r="K40" s="140" t="s">
        <v>3</v>
      </c>
      <c r="L40" s="139" t="s">
        <v>4</v>
      </c>
      <c r="M40" s="139" t="s">
        <v>5</v>
      </c>
      <c r="N40" s="140" t="s">
        <v>6</v>
      </c>
      <c r="O40" s="139" t="s">
        <v>7</v>
      </c>
      <c r="Q40" s="128">
        <f>+A40</f>
        <v>0</v>
      </c>
      <c r="R40" s="128" t="str">
        <f>+B40</f>
        <v>S1R1</v>
      </c>
      <c r="S40" s="128" t="str">
        <f>+C40</f>
        <v>S1R2</v>
      </c>
      <c r="T40" s="128" t="str">
        <f>+D40</f>
        <v>S1R3</v>
      </c>
      <c r="U40" s="128" t="str">
        <f>+E40</f>
        <v>S2R1</v>
      </c>
      <c r="V40" s="128" t="str">
        <f>+F40</f>
        <v>S2R2</v>
      </c>
      <c r="W40" s="128" t="str">
        <f>+G40</f>
        <v>S2R3</v>
      </c>
    </row>
    <row r="41" spans="1:23" ht="12.75">
      <c r="A41" s="130" t="s">
        <v>8</v>
      </c>
      <c r="B41" s="145">
        <v>1.095765</v>
      </c>
      <c r="C41" s="143">
        <v>1.089764</v>
      </c>
      <c r="D41" s="143">
        <v>1.093248</v>
      </c>
      <c r="E41" s="125">
        <v>1.091723</v>
      </c>
      <c r="F41" s="143">
        <v>1.090955</v>
      </c>
      <c r="G41" s="144">
        <v>1.091675</v>
      </c>
      <c r="H41" s="125"/>
      <c r="I41" s="130" t="s">
        <v>8</v>
      </c>
      <c r="J41" s="145">
        <v>0.901374</v>
      </c>
      <c r="K41" s="143">
        <v>0.899181</v>
      </c>
      <c r="L41" s="143">
        <v>0.900874</v>
      </c>
      <c r="M41" s="125">
        <v>0.899465</v>
      </c>
      <c r="N41" s="143">
        <v>0.900372</v>
      </c>
      <c r="O41" s="144">
        <v>0.901033</v>
      </c>
      <c r="Q41" s="128" t="str">
        <f aca="true" t="shared" si="4" ref="Q41:Q49">+A41</f>
        <v>T30/s</v>
      </c>
      <c r="R41" s="127">
        <f aca="true" t="shared" si="5" ref="R41:W49">+B41-J41</f>
        <v>0.1943910000000001</v>
      </c>
      <c r="S41" s="127">
        <f t="shared" si="5"/>
        <v>0.19058299999999995</v>
      </c>
      <c r="T41" s="127">
        <f t="shared" si="5"/>
        <v>0.19237400000000004</v>
      </c>
      <c r="U41" s="127">
        <f t="shared" si="5"/>
        <v>0.19225800000000004</v>
      </c>
      <c r="V41" s="127">
        <f t="shared" si="5"/>
        <v>0.19058299999999995</v>
      </c>
      <c r="W41" s="127">
        <f t="shared" si="5"/>
        <v>0.19064199999999998</v>
      </c>
    </row>
    <row r="42" spans="1:23" ht="12.75">
      <c r="A42" s="130" t="s">
        <v>9</v>
      </c>
      <c r="B42" s="131">
        <v>1.115083</v>
      </c>
      <c r="C42" s="125">
        <v>1.077362</v>
      </c>
      <c r="D42" s="125">
        <v>1.122066</v>
      </c>
      <c r="E42" s="125">
        <v>1.075737</v>
      </c>
      <c r="F42" s="125">
        <v>1.097476</v>
      </c>
      <c r="G42" s="129">
        <v>1.069806</v>
      </c>
      <c r="H42" s="125"/>
      <c r="I42" s="130" t="s">
        <v>9</v>
      </c>
      <c r="J42" s="131">
        <v>0.89311</v>
      </c>
      <c r="K42" s="125">
        <v>0.885095</v>
      </c>
      <c r="L42" s="125">
        <v>0.909112</v>
      </c>
      <c r="M42" s="125">
        <v>0.876314</v>
      </c>
      <c r="N42" s="125">
        <v>0.908525</v>
      </c>
      <c r="O42" s="129">
        <v>0.874239</v>
      </c>
      <c r="Q42" s="128" t="str">
        <f t="shared" si="4"/>
        <v>EDT/s</v>
      </c>
      <c r="R42" s="127">
        <f t="shared" si="5"/>
        <v>0.2219730000000001</v>
      </c>
      <c r="S42" s="127">
        <f t="shared" si="5"/>
        <v>0.19226699999999997</v>
      </c>
      <c r="T42" s="127">
        <f t="shared" si="5"/>
        <v>0.21295399999999998</v>
      </c>
      <c r="U42" s="127">
        <f t="shared" si="5"/>
        <v>0.1994229999999999</v>
      </c>
      <c r="V42" s="127">
        <f t="shared" si="5"/>
        <v>0.18895099999999987</v>
      </c>
      <c r="W42" s="127">
        <f t="shared" si="5"/>
        <v>0.19556700000000005</v>
      </c>
    </row>
    <row r="43" spans="1:23" ht="12.75">
      <c r="A43" s="130" t="s">
        <v>10</v>
      </c>
      <c r="B43" s="131">
        <v>43.633118</v>
      </c>
      <c r="C43" s="125">
        <v>49.698975</v>
      </c>
      <c r="D43" s="125">
        <v>39.207253</v>
      </c>
      <c r="E43" s="125">
        <v>52.712627</v>
      </c>
      <c r="F43" s="125">
        <v>41.836468</v>
      </c>
      <c r="G43" s="129">
        <v>52.457314</v>
      </c>
      <c r="H43" s="125"/>
      <c r="I43" s="130" t="s">
        <v>10</v>
      </c>
      <c r="J43" s="131">
        <v>51.273441</v>
      </c>
      <c r="K43" s="125">
        <v>57.245899</v>
      </c>
      <c r="L43" s="125">
        <v>46.222385</v>
      </c>
      <c r="M43" s="125">
        <v>58.983582</v>
      </c>
      <c r="N43" s="125">
        <v>48.229099</v>
      </c>
      <c r="O43" s="129">
        <v>58.352592</v>
      </c>
      <c r="Q43" s="128" t="str">
        <f t="shared" si="4"/>
        <v>D/%</v>
      </c>
      <c r="R43" s="127">
        <f t="shared" si="5"/>
        <v>-7.640322999999995</v>
      </c>
      <c r="S43" s="127">
        <f t="shared" si="5"/>
        <v>-7.546924000000004</v>
      </c>
      <c r="T43" s="127">
        <f t="shared" si="5"/>
        <v>-7.015132000000001</v>
      </c>
      <c r="U43" s="127">
        <f t="shared" si="5"/>
        <v>-6.270955000000001</v>
      </c>
      <c r="V43" s="127">
        <f t="shared" si="5"/>
        <v>-6.392630999999994</v>
      </c>
      <c r="W43" s="127">
        <f t="shared" si="5"/>
        <v>-5.895278000000005</v>
      </c>
    </row>
    <row r="44" spans="1:23" ht="12.75">
      <c r="A44" s="130" t="s">
        <v>11</v>
      </c>
      <c r="B44" s="131">
        <v>1.938783</v>
      </c>
      <c r="C44" s="125">
        <v>2.818799</v>
      </c>
      <c r="D44" s="125">
        <v>1.262796</v>
      </c>
      <c r="E44" s="125">
        <v>3.166222</v>
      </c>
      <c r="F44" s="125">
        <v>1.682598</v>
      </c>
      <c r="G44" s="129">
        <v>3.155382</v>
      </c>
      <c r="H44" s="125"/>
      <c r="I44" s="130" t="s">
        <v>11</v>
      </c>
      <c r="J44" s="131">
        <v>3.49458</v>
      </c>
      <c r="K44" s="125">
        <v>4.261685</v>
      </c>
      <c r="L44" s="125">
        <v>2.729761</v>
      </c>
      <c r="M44" s="125">
        <v>4.553084</v>
      </c>
      <c r="N44" s="125">
        <v>2.985732</v>
      </c>
      <c r="O44" s="129">
        <v>4.515757</v>
      </c>
      <c r="Q44" s="128" t="str">
        <f t="shared" si="4"/>
        <v>C/dB</v>
      </c>
      <c r="R44" s="127">
        <f t="shared" si="5"/>
        <v>-1.555797</v>
      </c>
      <c r="S44" s="127">
        <f t="shared" si="5"/>
        <v>-1.4428860000000001</v>
      </c>
      <c r="T44" s="127">
        <f t="shared" si="5"/>
        <v>-1.4669649999999999</v>
      </c>
      <c r="U44" s="127">
        <f t="shared" si="5"/>
        <v>-1.3868620000000003</v>
      </c>
      <c r="V44" s="127">
        <f t="shared" si="5"/>
        <v>-1.303134</v>
      </c>
      <c r="W44" s="127">
        <f t="shared" si="5"/>
        <v>-1.360375</v>
      </c>
    </row>
    <row r="45" spans="1:23" ht="12.75">
      <c r="A45" s="130" t="s">
        <v>12</v>
      </c>
      <c r="B45" s="131">
        <v>84.898422</v>
      </c>
      <c r="C45" s="125">
        <v>75.057045</v>
      </c>
      <c r="D45" s="125">
        <v>90.921799</v>
      </c>
      <c r="E45" s="125">
        <v>72.217186</v>
      </c>
      <c r="F45" s="125">
        <v>86.48056</v>
      </c>
      <c r="G45" s="129">
        <v>73.016434</v>
      </c>
      <c r="H45" s="125"/>
      <c r="I45" s="130" t="s">
        <v>12</v>
      </c>
      <c r="J45" s="131">
        <v>69.268791</v>
      </c>
      <c r="K45" s="125">
        <v>61.220592</v>
      </c>
      <c r="L45" s="125">
        <v>75.468529</v>
      </c>
      <c r="M45" s="125">
        <v>59.286552</v>
      </c>
      <c r="N45" s="125">
        <v>72.604698</v>
      </c>
      <c r="O45" s="129">
        <v>60.600433</v>
      </c>
      <c r="Q45" s="128" t="str">
        <f t="shared" si="4"/>
        <v>TS/ms</v>
      </c>
      <c r="R45" s="127">
        <f t="shared" si="5"/>
        <v>15.629631000000003</v>
      </c>
      <c r="S45" s="127">
        <f t="shared" si="5"/>
        <v>13.836452999999999</v>
      </c>
      <c r="T45" s="127">
        <f t="shared" si="5"/>
        <v>15.45326999999999</v>
      </c>
      <c r="U45" s="127">
        <f t="shared" si="5"/>
        <v>12.930633999999998</v>
      </c>
      <c r="V45" s="127">
        <f t="shared" si="5"/>
        <v>13.875861999999998</v>
      </c>
      <c r="W45" s="127">
        <f t="shared" si="5"/>
        <v>12.416001000000001</v>
      </c>
    </row>
    <row r="46" spans="1:23" ht="12.75">
      <c r="A46" s="130" t="s">
        <v>13</v>
      </c>
      <c r="B46" s="131">
        <v>19.246817</v>
      </c>
      <c r="C46" s="125">
        <v>20.235229</v>
      </c>
      <c r="D46" s="125">
        <v>19.212193</v>
      </c>
      <c r="E46" s="125">
        <v>20.14817</v>
      </c>
      <c r="F46" s="125">
        <v>19.369089</v>
      </c>
      <c r="G46" s="129">
        <v>20.375006</v>
      </c>
      <c r="H46" s="125"/>
      <c r="I46" s="130" t="s">
        <v>13</v>
      </c>
      <c r="J46" s="131">
        <v>18.434601</v>
      </c>
      <c r="K46" s="125">
        <v>19.522179</v>
      </c>
      <c r="L46" s="125">
        <v>18.516357</v>
      </c>
      <c r="M46" s="125">
        <v>19.410349</v>
      </c>
      <c r="N46" s="125">
        <v>18.686031</v>
      </c>
      <c r="O46" s="129">
        <v>19.840305</v>
      </c>
      <c r="Q46" s="128" t="str">
        <f t="shared" si="4"/>
        <v>G/dB</v>
      </c>
      <c r="R46" s="127">
        <f t="shared" si="5"/>
        <v>0.8122159999999994</v>
      </c>
      <c r="S46" s="127">
        <f t="shared" si="5"/>
        <v>0.7130499999999991</v>
      </c>
      <c r="T46" s="127">
        <f t="shared" si="5"/>
        <v>0.6958359999999999</v>
      </c>
      <c r="U46" s="127">
        <f t="shared" si="5"/>
        <v>0.7378210000000003</v>
      </c>
      <c r="V46" s="127">
        <f t="shared" si="5"/>
        <v>0.683057999999999</v>
      </c>
      <c r="W46" s="127">
        <f t="shared" si="5"/>
        <v>0.5347009999999983</v>
      </c>
    </row>
    <row r="47" spans="1:23" ht="12.75">
      <c r="A47" s="130" t="s">
        <v>14</v>
      </c>
      <c r="B47" s="131">
        <v>27.204937</v>
      </c>
      <c r="C47" s="125">
        <v>22.610794</v>
      </c>
      <c r="D47" s="125">
        <v>25.471678</v>
      </c>
      <c r="E47" s="125">
        <v>22.92749</v>
      </c>
      <c r="F47" s="125">
        <v>26.270084</v>
      </c>
      <c r="G47" s="129">
        <v>25.370043</v>
      </c>
      <c r="H47" s="125"/>
      <c r="I47" s="130" t="s">
        <v>14</v>
      </c>
      <c r="J47" s="131">
        <v>24.317438</v>
      </c>
      <c r="K47" s="125">
        <v>21.870359</v>
      </c>
      <c r="L47" s="125">
        <v>26.712944</v>
      </c>
      <c r="M47" s="125">
        <v>20.943962</v>
      </c>
      <c r="N47" s="125">
        <v>24.651043</v>
      </c>
      <c r="O47" s="129">
        <v>24.322882</v>
      </c>
      <c r="Q47" s="128" t="str">
        <f t="shared" si="4"/>
        <v>LF/%</v>
      </c>
      <c r="R47" s="127">
        <f t="shared" si="5"/>
        <v>2.887499000000002</v>
      </c>
      <c r="S47" s="127">
        <f t="shared" si="5"/>
        <v>0.740434999999998</v>
      </c>
      <c r="T47" s="127">
        <f t="shared" si="5"/>
        <v>-1.2412659999999995</v>
      </c>
      <c r="U47" s="127">
        <f t="shared" si="5"/>
        <v>1.9835279999999997</v>
      </c>
      <c r="V47" s="127">
        <f t="shared" si="5"/>
        <v>1.6190409999999993</v>
      </c>
      <c r="W47" s="127">
        <f t="shared" si="5"/>
        <v>1.0471609999999991</v>
      </c>
    </row>
    <row r="48" spans="1:23" ht="12.75">
      <c r="A48" s="130" t="s">
        <v>15</v>
      </c>
      <c r="B48" s="131">
        <v>38.920273</v>
      </c>
      <c r="C48" s="125">
        <v>33.815037</v>
      </c>
      <c r="D48" s="125">
        <v>39.564228</v>
      </c>
      <c r="E48" s="125">
        <v>33.97995</v>
      </c>
      <c r="F48" s="125">
        <v>39.404545</v>
      </c>
      <c r="G48" s="129">
        <v>37.286888</v>
      </c>
      <c r="H48" s="125"/>
      <c r="I48" s="130" t="s">
        <v>15</v>
      </c>
      <c r="J48" s="131">
        <v>36.074547</v>
      </c>
      <c r="K48" s="125">
        <v>32.975094</v>
      </c>
      <c r="L48" s="125">
        <v>40.534927</v>
      </c>
      <c r="M48" s="125">
        <v>31.83733</v>
      </c>
      <c r="N48" s="125">
        <v>37.769886</v>
      </c>
      <c r="O48" s="129">
        <v>36.330219</v>
      </c>
      <c r="Q48" s="128" t="str">
        <f t="shared" si="4"/>
        <v>LFC/%</v>
      </c>
      <c r="R48" s="127">
        <f t="shared" si="5"/>
        <v>2.845725999999999</v>
      </c>
      <c r="S48" s="127">
        <f t="shared" si="5"/>
        <v>0.8399429999999981</v>
      </c>
      <c r="T48" s="127">
        <f t="shared" si="5"/>
        <v>-0.9706990000000033</v>
      </c>
      <c r="U48" s="127">
        <f t="shared" si="5"/>
        <v>2.142620000000001</v>
      </c>
      <c r="V48" s="127">
        <f t="shared" si="5"/>
        <v>1.6346589999999992</v>
      </c>
      <c r="W48" s="127">
        <f t="shared" si="5"/>
        <v>0.956668999999998</v>
      </c>
    </row>
    <row r="49" spans="1:23" ht="12.75">
      <c r="A49" s="134" t="s">
        <v>16</v>
      </c>
      <c r="B49" s="135"/>
      <c r="C49" s="132"/>
      <c r="D49" s="132"/>
      <c r="E49" s="132"/>
      <c r="F49" s="132"/>
      <c r="G49" s="133"/>
      <c r="H49" s="125"/>
      <c r="I49" s="134" t="s">
        <v>16</v>
      </c>
      <c r="J49" s="135"/>
      <c r="K49" s="132"/>
      <c r="L49" s="132"/>
      <c r="M49" s="132"/>
      <c r="N49" s="132"/>
      <c r="O49" s="133"/>
      <c r="Q49" s="128" t="str">
        <f t="shared" si="4"/>
        <v>IACC</v>
      </c>
      <c r="R49" s="127">
        <f t="shared" si="5"/>
        <v>0</v>
      </c>
      <c r="S49" s="127">
        <f t="shared" si="5"/>
        <v>0</v>
      </c>
      <c r="T49" s="127">
        <f t="shared" si="5"/>
        <v>0</v>
      </c>
      <c r="U49" s="127">
        <f t="shared" si="5"/>
        <v>0</v>
      </c>
      <c r="V49" s="127">
        <f t="shared" si="5"/>
        <v>0</v>
      </c>
      <c r="W49" s="127">
        <f t="shared" si="5"/>
        <v>0</v>
      </c>
    </row>
    <row r="50" spans="5:23" ht="12.75">
      <c r="E50" s="136"/>
      <c r="F50" s="136"/>
      <c r="G50" s="136"/>
      <c r="H50" s="136"/>
      <c r="M50" s="136"/>
      <c r="N50" s="136"/>
      <c r="O50" s="136"/>
      <c r="R50" s="127"/>
      <c r="S50" s="127"/>
      <c r="T50" s="127"/>
      <c r="U50" s="127"/>
      <c r="V50" s="127"/>
      <c r="W50" s="127"/>
    </row>
    <row r="51" spans="1:18" ht="12.75">
      <c r="A51" s="155" t="s">
        <v>19</v>
      </c>
      <c r="B51" s="156" t="s">
        <v>1</v>
      </c>
      <c r="E51" s="136"/>
      <c r="F51" s="136"/>
      <c r="G51" s="136"/>
      <c r="H51" s="136"/>
      <c r="I51" s="155" t="s">
        <v>19</v>
      </c>
      <c r="J51" s="156" t="s">
        <v>1</v>
      </c>
      <c r="M51" s="136"/>
      <c r="N51" s="136"/>
      <c r="O51" s="136"/>
      <c r="Q51" s="128" t="str">
        <f>+A51</f>
        <v>1000 Hz</v>
      </c>
      <c r="R51" s="128" t="str">
        <f>+B51</f>
        <v>octave</v>
      </c>
    </row>
    <row r="52" spans="1:23" ht="12.75">
      <c r="A52" s="142"/>
      <c r="B52" s="140" t="s">
        <v>2</v>
      </c>
      <c r="C52" s="140" t="s">
        <v>3</v>
      </c>
      <c r="D52" s="139" t="s">
        <v>4</v>
      </c>
      <c r="E52" s="139" t="s">
        <v>5</v>
      </c>
      <c r="F52" s="140" t="s">
        <v>6</v>
      </c>
      <c r="G52" s="139" t="s">
        <v>7</v>
      </c>
      <c r="H52" s="141"/>
      <c r="I52" s="142"/>
      <c r="J52" s="140" t="s">
        <v>2</v>
      </c>
      <c r="K52" s="140" t="s">
        <v>3</v>
      </c>
      <c r="L52" s="139" t="s">
        <v>4</v>
      </c>
      <c r="M52" s="139" t="s">
        <v>5</v>
      </c>
      <c r="N52" s="140" t="s">
        <v>6</v>
      </c>
      <c r="O52" s="139" t="s">
        <v>7</v>
      </c>
      <c r="Q52" s="128">
        <f>+A52</f>
        <v>0</v>
      </c>
      <c r="R52" s="128" t="str">
        <f>+B52</f>
        <v>S1R1</v>
      </c>
      <c r="S52" s="128" t="str">
        <f>+C52</f>
        <v>S1R2</v>
      </c>
      <c r="T52" s="128" t="str">
        <f>+D52</f>
        <v>S1R3</v>
      </c>
      <c r="U52" s="128" t="str">
        <f>+E52</f>
        <v>S2R1</v>
      </c>
      <c r="V52" s="128" t="str">
        <f>+F52</f>
        <v>S2R2</v>
      </c>
      <c r="W52" s="128" t="str">
        <f>+G52</f>
        <v>S2R3</v>
      </c>
    </row>
    <row r="53" spans="1:23" ht="12.75">
      <c r="A53" s="130" t="s">
        <v>8</v>
      </c>
      <c r="B53" s="145">
        <v>0.983807</v>
      </c>
      <c r="C53" s="143">
        <v>0.97633</v>
      </c>
      <c r="D53" s="143">
        <v>0.980496</v>
      </c>
      <c r="E53" s="125">
        <v>0.977491</v>
      </c>
      <c r="F53" s="143">
        <v>0.976507</v>
      </c>
      <c r="G53" s="144">
        <v>0.97771</v>
      </c>
      <c r="H53" s="125"/>
      <c r="I53" s="130" t="s">
        <v>8</v>
      </c>
      <c r="J53" s="145">
        <v>0.798152</v>
      </c>
      <c r="K53" s="143">
        <v>0.79659</v>
      </c>
      <c r="L53" s="143">
        <v>0.797862</v>
      </c>
      <c r="M53" s="125">
        <v>0.796296</v>
      </c>
      <c r="N53" s="143">
        <v>0.797158</v>
      </c>
      <c r="O53" s="144">
        <v>0.79816</v>
      </c>
      <c r="Q53" s="128" t="str">
        <f aca="true" t="shared" si="6" ref="Q53:Q61">+A53</f>
        <v>T30/s</v>
      </c>
      <c r="R53" s="127">
        <f aca="true" t="shared" si="7" ref="R53:W61">+B53-J53</f>
        <v>0.18565500000000001</v>
      </c>
      <c r="S53" s="127">
        <f t="shared" si="7"/>
        <v>0.17974</v>
      </c>
      <c r="T53" s="127">
        <f t="shared" si="7"/>
        <v>0.18263400000000007</v>
      </c>
      <c r="U53" s="127">
        <f t="shared" si="7"/>
        <v>0.181195</v>
      </c>
      <c r="V53" s="127">
        <f t="shared" si="7"/>
        <v>0.17934899999999998</v>
      </c>
      <c r="W53" s="127">
        <f t="shared" si="7"/>
        <v>0.17955</v>
      </c>
    </row>
    <row r="54" spans="1:23" ht="12.75">
      <c r="A54" s="130" t="s">
        <v>9</v>
      </c>
      <c r="B54" s="131">
        <v>1.002156</v>
      </c>
      <c r="C54" s="125">
        <v>0.972567</v>
      </c>
      <c r="D54" s="125">
        <v>1.009222</v>
      </c>
      <c r="E54" s="125">
        <v>0.961913</v>
      </c>
      <c r="F54" s="125">
        <v>0.98634</v>
      </c>
      <c r="G54" s="129">
        <v>0.955508</v>
      </c>
      <c r="H54" s="125"/>
      <c r="I54" s="130" t="s">
        <v>9</v>
      </c>
      <c r="J54" s="131">
        <v>0.786432</v>
      </c>
      <c r="K54" s="125">
        <v>0.78679</v>
      </c>
      <c r="L54" s="125">
        <v>0.804719</v>
      </c>
      <c r="M54" s="125">
        <v>0.771801</v>
      </c>
      <c r="N54" s="125">
        <v>0.810005</v>
      </c>
      <c r="O54" s="129">
        <v>0.768535</v>
      </c>
      <c r="Q54" s="128" t="str">
        <f t="shared" si="6"/>
        <v>EDT/s</v>
      </c>
      <c r="R54" s="127">
        <f t="shared" si="7"/>
        <v>0.21572400000000003</v>
      </c>
      <c r="S54" s="127">
        <f t="shared" si="7"/>
        <v>0.18577699999999997</v>
      </c>
      <c r="T54" s="127">
        <f t="shared" si="7"/>
        <v>0.2045030000000001</v>
      </c>
      <c r="U54" s="127">
        <f t="shared" si="7"/>
        <v>0.19011200000000006</v>
      </c>
      <c r="V54" s="127">
        <f t="shared" si="7"/>
        <v>0.17633500000000002</v>
      </c>
      <c r="W54" s="127">
        <f t="shared" si="7"/>
        <v>0.18697300000000006</v>
      </c>
    </row>
    <row r="55" spans="1:23" ht="12.75">
      <c r="A55" s="130" t="s">
        <v>10</v>
      </c>
      <c r="B55" s="131">
        <v>47.398132</v>
      </c>
      <c r="C55" s="125">
        <v>53.128002</v>
      </c>
      <c r="D55" s="125">
        <v>42.914181</v>
      </c>
      <c r="E55" s="125">
        <v>56.908665</v>
      </c>
      <c r="F55" s="125">
        <v>45.206413</v>
      </c>
      <c r="G55" s="129">
        <v>56.494873</v>
      </c>
      <c r="H55" s="125"/>
      <c r="I55" s="130" t="s">
        <v>10</v>
      </c>
      <c r="J55" s="131">
        <v>55.698277</v>
      </c>
      <c r="K55" s="125">
        <v>61.51556</v>
      </c>
      <c r="L55" s="125">
        <v>50.636639</v>
      </c>
      <c r="M55" s="125">
        <v>63.60318</v>
      </c>
      <c r="N55" s="125">
        <v>52.393818</v>
      </c>
      <c r="O55" s="129">
        <v>62.866913</v>
      </c>
      <c r="Q55" s="128" t="str">
        <f t="shared" si="6"/>
        <v>D/%</v>
      </c>
      <c r="R55" s="127">
        <f t="shared" si="7"/>
        <v>-8.300145</v>
      </c>
      <c r="S55" s="127">
        <f t="shared" si="7"/>
        <v>-8.387557999999999</v>
      </c>
      <c r="T55" s="127">
        <f t="shared" si="7"/>
        <v>-7.722458000000003</v>
      </c>
      <c r="U55" s="127">
        <f t="shared" si="7"/>
        <v>-6.694515000000003</v>
      </c>
      <c r="V55" s="127">
        <f t="shared" si="7"/>
        <v>-7.187405000000005</v>
      </c>
      <c r="W55" s="127">
        <f t="shared" si="7"/>
        <v>-6.372039999999998</v>
      </c>
    </row>
    <row r="56" spans="1:23" ht="12.75">
      <c r="A56" s="130" t="s">
        <v>11</v>
      </c>
      <c r="B56" s="131">
        <v>2.695862</v>
      </c>
      <c r="C56" s="125">
        <v>3.543537</v>
      </c>
      <c r="D56" s="125">
        <v>2.022755</v>
      </c>
      <c r="E56" s="125">
        <v>3.988257</v>
      </c>
      <c r="F56" s="125">
        <v>2.411437</v>
      </c>
      <c r="G56" s="129">
        <v>3.961614</v>
      </c>
      <c r="H56" s="125"/>
      <c r="I56" s="130" t="s">
        <v>11</v>
      </c>
      <c r="J56" s="131">
        <v>4.445135</v>
      </c>
      <c r="K56" s="125">
        <v>5.185357</v>
      </c>
      <c r="L56" s="125">
        <v>3.655161</v>
      </c>
      <c r="M56" s="125">
        <v>5.565378</v>
      </c>
      <c r="N56" s="125">
        <v>3.870909</v>
      </c>
      <c r="O56" s="129">
        <v>5.499256</v>
      </c>
      <c r="Q56" s="128" t="str">
        <f t="shared" si="6"/>
        <v>C/dB</v>
      </c>
      <c r="R56" s="127">
        <f t="shared" si="7"/>
        <v>-1.7492729999999996</v>
      </c>
      <c r="S56" s="127">
        <f t="shared" si="7"/>
        <v>-1.6418199999999996</v>
      </c>
      <c r="T56" s="127">
        <f t="shared" si="7"/>
        <v>-1.632406</v>
      </c>
      <c r="U56" s="127">
        <f t="shared" si="7"/>
        <v>-1.577121</v>
      </c>
      <c r="V56" s="127">
        <f t="shared" si="7"/>
        <v>-1.4594720000000003</v>
      </c>
      <c r="W56" s="127">
        <f t="shared" si="7"/>
        <v>-1.537642</v>
      </c>
    </row>
    <row r="57" spans="1:23" ht="12.75">
      <c r="A57" s="130" t="s">
        <v>12</v>
      </c>
      <c r="B57" s="131">
        <v>76.532883</v>
      </c>
      <c r="C57" s="125">
        <v>67.554161</v>
      </c>
      <c r="D57" s="125">
        <v>82.311897</v>
      </c>
      <c r="E57" s="125">
        <v>64.055672</v>
      </c>
      <c r="F57" s="125">
        <v>78.347466</v>
      </c>
      <c r="G57" s="129">
        <v>65.074387</v>
      </c>
      <c r="H57" s="125"/>
      <c r="I57" s="130" t="s">
        <v>12</v>
      </c>
      <c r="J57" s="131">
        <v>61.712021</v>
      </c>
      <c r="K57" s="125">
        <v>54.213982</v>
      </c>
      <c r="L57" s="125">
        <v>67.657242</v>
      </c>
      <c r="M57" s="125">
        <v>51.968983</v>
      </c>
      <c r="N57" s="125">
        <v>65.087509</v>
      </c>
      <c r="O57" s="129">
        <v>53.436237</v>
      </c>
      <c r="Q57" s="128" t="str">
        <f t="shared" si="6"/>
        <v>TS/ms</v>
      </c>
      <c r="R57" s="127">
        <f t="shared" si="7"/>
        <v>14.820861999999998</v>
      </c>
      <c r="S57" s="127">
        <f t="shared" si="7"/>
        <v>13.340178999999992</v>
      </c>
      <c r="T57" s="127">
        <f t="shared" si="7"/>
        <v>14.654655000000005</v>
      </c>
      <c r="U57" s="127">
        <f t="shared" si="7"/>
        <v>12.086689</v>
      </c>
      <c r="V57" s="127">
        <f t="shared" si="7"/>
        <v>13.259957</v>
      </c>
      <c r="W57" s="127">
        <f t="shared" si="7"/>
        <v>11.638150000000003</v>
      </c>
    </row>
    <row r="58" spans="1:23" ht="12.75">
      <c r="A58" s="130" t="s">
        <v>13</v>
      </c>
      <c r="B58" s="131">
        <v>18.780077</v>
      </c>
      <c r="C58" s="125">
        <v>19.942894</v>
      </c>
      <c r="D58" s="125">
        <v>18.790554</v>
      </c>
      <c r="E58" s="125">
        <v>19.725735</v>
      </c>
      <c r="F58" s="125">
        <v>18.94351</v>
      </c>
      <c r="G58" s="129">
        <v>19.971119</v>
      </c>
      <c r="H58" s="125"/>
      <c r="I58" s="130" t="s">
        <v>13</v>
      </c>
      <c r="J58" s="131">
        <v>17.948036</v>
      </c>
      <c r="K58" s="125">
        <v>19.183107</v>
      </c>
      <c r="L58" s="125">
        <v>18.050791</v>
      </c>
      <c r="M58" s="125">
        <v>18.936876</v>
      </c>
      <c r="N58" s="125">
        <v>18.205206</v>
      </c>
      <c r="O58" s="129">
        <v>19.419395</v>
      </c>
      <c r="Q58" s="128" t="str">
        <f t="shared" si="6"/>
        <v>G/dB</v>
      </c>
      <c r="R58" s="127">
        <f t="shared" si="7"/>
        <v>0.8320410000000003</v>
      </c>
      <c r="S58" s="127">
        <f t="shared" si="7"/>
        <v>0.7597869999999993</v>
      </c>
      <c r="T58" s="127">
        <f t="shared" si="7"/>
        <v>0.739763</v>
      </c>
      <c r="U58" s="127">
        <f t="shared" si="7"/>
        <v>0.7888589999999986</v>
      </c>
      <c r="V58" s="127">
        <f t="shared" si="7"/>
        <v>0.7383039999999994</v>
      </c>
      <c r="W58" s="127">
        <f t="shared" si="7"/>
        <v>0.5517240000000001</v>
      </c>
    </row>
    <row r="59" spans="1:23" ht="12.75">
      <c r="A59" s="130" t="s">
        <v>14</v>
      </c>
      <c r="B59" s="131">
        <v>26.76396</v>
      </c>
      <c r="C59" s="125">
        <v>22.970655</v>
      </c>
      <c r="D59" s="125">
        <v>25.05159</v>
      </c>
      <c r="E59" s="125">
        <v>22.620895</v>
      </c>
      <c r="F59" s="125">
        <v>26.004725</v>
      </c>
      <c r="G59" s="129">
        <v>25.359308</v>
      </c>
      <c r="H59" s="125"/>
      <c r="I59" s="130" t="s">
        <v>14</v>
      </c>
      <c r="J59" s="131">
        <v>23.280441</v>
      </c>
      <c r="K59" s="125">
        <v>22.102381</v>
      </c>
      <c r="L59" s="125">
        <v>26.407114</v>
      </c>
      <c r="M59" s="125">
        <v>20.264076</v>
      </c>
      <c r="N59" s="125">
        <v>24.014414</v>
      </c>
      <c r="O59" s="129">
        <v>24.092283</v>
      </c>
      <c r="Q59" s="128" t="str">
        <f t="shared" si="6"/>
        <v>LF/%</v>
      </c>
      <c r="R59" s="127">
        <f t="shared" si="7"/>
        <v>3.483519000000001</v>
      </c>
      <c r="S59" s="127">
        <f t="shared" si="7"/>
        <v>0.8682739999999995</v>
      </c>
      <c r="T59" s="127">
        <f t="shared" si="7"/>
        <v>-1.355523999999999</v>
      </c>
      <c r="U59" s="127">
        <f t="shared" si="7"/>
        <v>2.3568190000000016</v>
      </c>
      <c r="V59" s="127">
        <f t="shared" si="7"/>
        <v>1.990311000000002</v>
      </c>
      <c r="W59" s="127">
        <f t="shared" si="7"/>
        <v>1.2670250000000003</v>
      </c>
    </row>
    <row r="60" spans="1:23" ht="12.75">
      <c r="A60" s="130" t="s">
        <v>15</v>
      </c>
      <c r="B60" s="131">
        <v>38.160431</v>
      </c>
      <c r="C60" s="125">
        <v>33.998959</v>
      </c>
      <c r="D60" s="125">
        <v>39.077572</v>
      </c>
      <c r="E60" s="125">
        <v>33.313271</v>
      </c>
      <c r="F60" s="125">
        <v>38.876057</v>
      </c>
      <c r="G60" s="129">
        <v>36.919857</v>
      </c>
      <c r="H60" s="125"/>
      <c r="I60" s="130" t="s">
        <v>15</v>
      </c>
      <c r="J60" s="131">
        <v>34.7486</v>
      </c>
      <c r="K60" s="125">
        <v>32.986324</v>
      </c>
      <c r="L60" s="125">
        <v>40.124119</v>
      </c>
      <c r="M60" s="125">
        <v>30.751966</v>
      </c>
      <c r="N60" s="125">
        <v>36.861538</v>
      </c>
      <c r="O60" s="129">
        <v>35.728603</v>
      </c>
      <c r="Q60" s="128" t="str">
        <f t="shared" si="6"/>
        <v>LFC/%</v>
      </c>
      <c r="R60" s="127">
        <f t="shared" si="7"/>
        <v>3.4118309999999994</v>
      </c>
      <c r="S60" s="127">
        <f t="shared" si="7"/>
        <v>1.012634999999996</v>
      </c>
      <c r="T60" s="127">
        <f t="shared" si="7"/>
        <v>-1.0465469999999968</v>
      </c>
      <c r="U60" s="127">
        <f t="shared" si="7"/>
        <v>2.561305000000001</v>
      </c>
      <c r="V60" s="127">
        <f t="shared" si="7"/>
        <v>2.014519</v>
      </c>
      <c r="W60" s="127">
        <f t="shared" si="7"/>
        <v>1.1912540000000007</v>
      </c>
    </row>
    <row r="61" spans="1:23" ht="12.75">
      <c r="A61" s="134" t="s">
        <v>16</v>
      </c>
      <c r="B61" s="135"/>
      <c r="C61" s="132"/>
      <c r="D61" s="132"/>
      <c r="E61" s="132"/>
      <c r="F61" s="132"/>
      <c r="G61" s="133"/>
      <c r="H61" s="125"/>
      <c r="I61" s="134" t="s">
        <v>16</v>
      </c>
      <c r="J61" s="135"/>
      <c r="K61" s="132"/>
      <c r="L61" s="132"/>
      <c r="M61" s="132"/>
      <c r="N61" s="132"/>
      <c r="O61" s="133"/>
      <c r="Q61" s="128" t="str">
        <f t="shared" si="6"/>
        <v>IACC</v>
      </c>
      <c r="R61" s="127">
        <f t="shared" si="7"/>
        <v>0</v>
      </c>
      <c r="S61" s="127">
        <f t="shared" si="7"/>
        <v>0</v>
      </c>
      <c r="T61" s="127">
        <f t="shared" si="7"/>
        <v>0</v>
      </c>
      <c r="U61" s="127">
        <f t="shared" si="7"/>
        <v>0</v>
      </c>
      <c r="V61" s="127">
        <f t="shared" si="7"/>
        <v>0</v>
      </c>
      <c r="W61" s="127">
        <f t="shared" si="7"/>
        <v>0</v>
      </c>
    </row>
    <row r="62" spans="5:15" ht="12.75">
      <c r="E62" s="136"/>
      <c r="F62" s="136"/>
      <c r="G62" s="136"/>
      <c r="H62" s="136"/>
      <c r="M62" s="136"/>
      <c r="N62" s="136"/>
      <c r="O62" s="136"/>
    </row>
    <row r="63" spans="1:18" ht="12.75">
      <c r="A63" s="155" t="s">
        <v>20</v>
      </c>
      <c r="B63" s="156" t="s">
        <v>1</v>
      </c>
      <c r="E63" s="136"/>
      <c r="F63" s="136"/>
      <c r="G63" s="136"/>
      <c r="H63" s="136"/>
      <c r="I63" s="155" t="s">
        <v>20</v>
      </c>
      <c r="J63" s="156" t="s">
        <v>1</v>
      </c>
      <c r="M63" s="136"/>
      <c r="N63" s="136"/>
      <c r="O63" s="136"/>
      <c r="Q63" s="128" t="str">
        <f>+A63</f>
        <v>2000 Hz</v>
      </c>
      <c r="R63" s="128" t="str">
        <f>+B63</f>
        <v>octave</v>
      </c>
    </row>
    <row r="64" spans="1:23" ht="12.75">
      <c r="A64" s="142"/>
      <c r="B64" s="140" t="s">
        <v>2</v>
      </c>
      <c r="C64" s="140" t="s">
        <v>3</v>
      </c>
      <c r="D64" s="139" t="s">
        <v>4</v>
      </c>
      <c r="E64" s="139" t="s">
        <v>5</v>
      </c>
      <c r="F64" s="140" t="s">
        <v>6</v>
      </c>
      <c r="G64" s="139" t="s">
        <v>7</v>
      </c>
      <c r="H64" s="141"/>
      <c r="I64" s="142"/>
      <c r="J64" s="140" t="s">
        <v>2</v>
      </c>
      <c r="K64" s="140" t="s">
        <v>3</v>
      </c>
      <c r="L64" s="139" t="s">
        <v>4</v>
      </c>
      <c r="M64" s="139" t="s">
        <v>5</v>
      </c>
      <c r="N64" s="140" t="s">
        <v>6</v>
      </c>
      <c r="O64" s="139" t="s">
        <v>7</v>
      </c>
      <c r="Q64" s="128">
        <f>+A64</f>
        <v>0</v>
      </c>
      <c r="R64" s="128" t="str">
        <f>+B64</f>
        <v>S1R1</v>
      </c>
      <c r="S64" s="128" t="str">
        <f>+C64</f>
        <v>S1R2</v>
      </c>
      <c r="T64" s="128" t="str">
        <f>+D64</f>
        <v>S1R3</v>
      </c>
      <c r="U64" s="128" t="str">
        <f>+E64</f>
        <v>S2R1</v>
      </c>
      <c r="V64" s="128" t="str">
        <f>+F64</f>
        <v>S2R2</v>
      </c>
      <c r="W64" s="128" t="str">
        <f>+G64</f>
        <v>S2R3</v>
      </c>
    </row>
    <row r="65" spans="1:23" ht="12.75">
      <c r="A65" s="130" t="s">
        <v>8</v>
      </c>
      <c r="B65" s="145">
        <v>1.084097</v>
      </c>
      <c r="C65" s="143">
        <v>1.078699</v>
      </c>
      <c r="D65" s="143">
        <v>1.081546</v>
      </c>
      <c r="E65" s="125">
        <v>1.079811</v>
      </c>
      <c r="F65" s="143">
        <v>1.07887</v>
      </c>
      <c r="G65" s="144">
        <v>1.079854</v>
      </c>
      <c r="H65" s="125"/>
      <c r="I65" s="130" t="s">
        <v>8</v>
      </c>
      <c r="J65" s="145">
        <v>0.793842</v>
      </c>
      <c r="K65" s="143">
        <v>0.793162</v>
      </c>
      <c r="L65" s="143">
        <v>0.79378</v>
      </c>
      <c r="M65" s="125">
        <v>0.792555</v>
      </c>
      <c r="N65" s="143">
        <v>0.793314</v>
      </c>
      <c r="O65" s="144">
        <v>0.7941</v>
      </c>
      <c r="Q65" s="128" t="str">
        <f aca="true" t="shared" si="8" ref="Q65:Q73">+A65</f>
        <v>T30/s</v>
      </c>
      <c r="R65" s="127">
        <f aca="true" t="shared" si="9" ref="R65:W73">+B65-J65</f>
        <v>0.29025500000000004</v>
      </c>
      <c r="S65" s="127">
        <f t="shared" si="9"/>
        <v>0.28553700000000004</v>
      </c>
      <c r="T65" s="127">
        <f t="shared" si="9"/>
        <v>0.28776599999999986</v>
      </c>
      <c r="U65" s="127">
        <f t="shared" si="9"/>
        <v>0.28725600000000007</v>
      </c>
      <c r="V65" s="127">
        <f t="shared" si="9"/>
        <v>0.28555600000000003</v>
      </c>
      <c r="W65" s="127">
        <f t="shared" si="9"/>
        <v>0.28575400000000006</v>
      </c>
    </row>
    <row r="66" spans="1:23" ht="12.75">
      <c r="A66" s="130" t="s">
        <v>9</v>
      </c>
      <c r="B66" s="131">
        <v>1.111405</v>
      </c>
      <c r="C66" s="125">
        <v>1.077678</v>
      </c>
      <c r="D66" s="125">
        <v>1.117858</v>
      </c>
      <c r="E66" s="125">
        <v>1.071215</v>
      </c>
      <c r="F66" s="125">
        <v>1.094593</v>
      </c>
      <c r="G66" s="129">
        <v>1.067652</v>
      </c>
      <c r="H66" s="125"/>
      <c r="I66" s="130" t="s">
        <v>9</v>
      </c>
      <c r="J66" s="131">
        <v>0.779925</v>
      </c>
      <c r="K66" s="125">
        <v>0.782146</v>
      </c>
      <c r="L66" s="125">
        <v>0.802628</v>
      </c>
      <c r="M66" s="125">
        <v>0.765449</v>
      </c>
      <c r="N66" s="125">
        <v>0.809025</v>
      </c>
      <c r="O66" s="129">
        <v>0.766977</v>
      </c>
      <c r="Q66" s="128" t="str">
        <f t="shared" si="8"/>
        <v>EDT/s</v>
      </c>
      <c r="R66" s="127">
        <f t="shared" si="9"/>
        <v>0.33148</v>
      </c>
      <c r="S66" s="127">
        <f t="shared" si="9"/>
        <v>0.2955319999999999</v>
      </c>
      <c r="T66" s="127">
        <f t="shared" si="9"/>
        <v>0.31523</v>
      </c>
      <c r="U66" s="127">
        <f t="shared" si="9"/>
        <v>0.305766</v>
      </c>
      <c r="V66" s="127">
        <f t="shared" si="9"/>
        <v>0.28556799999999993</v>
      </c>
      <c r="W66" s="127">
        <f t="shared" si="9"/>
        <v>0.300675</v>
      </c>
    </row>
    <row r="67" spans="1:23" ht="12.75">
      <c r="A67" s="130" t="s">
        <v>10</v>
      </c>
      <c r="B67" s="131">
        <v>43.671421</v>
      </c>
      <c r="C67" s="125">
        <v>49.582993</v>
      </c>
      <c r="D67" s="125">
        <v>39.097832</v>
      </c>
      <c r="E67" s="125">
        <v>52.976875</v>
      </c>
      <c r="F67" s="125">
        <v>41.548054</v>
      </c>
      <c r="G67" s="129">
        <v>52.470604</v>
      </c>
      <c r="H67" s="125"/>
      <c r="I67" s="130" t="s">
        <v>10</v>
      </c>
      <c r="J67" s="131">
        <v>56.321018</v>
      </c>
      <c r="K67" s="125">
        <v>61.910046</v>
      </c>
      <c r="L67" s="125">
        <v>50.578037</v>
      </c>
      <c r="M67" s="125">
        <v>63.992592</v>
      </c>
      <c r="N67" s="125">
        <v>52.327408</v>
      </c>
      <c r="O67" s="129">
        <v>62.587944</v>
      </c>
      <c r="Q67" s="128" t="str">
        <f t="shared" si="8"/>
        <v>D/%</v>
      </c>
      <c r="R67" s="127">
        <f t="shared" si="9"/>
        <v>-12.649597</v>
      </c>
      <c r="S67" s="127">
        <f t="shared" si="9"/>
        <v>-12.327053</v>
      </c>
      <c r="T67" s="127">
        <f t="shared" si="9"/>
        <v>-11.480205000000005</v>
      </c>
      <c r="U67" s="127">
        <f t="shared" si="9"/>
        <v>-11.015717000000002</v>
      </c>
      <c r="V67" s="127">
        <f t="shared" si="9"/>
        <v>-10.779353999999998</v>
      </c>
      <c r="W67" s="127">
        <f t="shared" si="9"/>
        <v>-10.117339999999999</v>
      </c>
    </row>
    <row r="68" spans="1:23" ht="12.75">
      <c r="A68" s="130" t="s">
        <v>11</v>
      </c>
      <c r="B68" s="131">
        <v>1.93969</v>
      </c>
      <c r="C68" s="125">
        <v>2.804723</v>
      </c>
      <c r="D68" s="125">
        <v>1.25502</v>
      </c>
      <c r="E68" s="125">
        <v>3.199317</v>
      </c>
      <c r="F68" s="125">
        <v>1.658599</v>
      </c>
      <c r="G68" s="129">
        <v>3.148781</v>
      </c>
      <c r="H68" s="125"/>
      <c r="I68" s="130" t="s">
        <v>11</v>
      </c>
      <c r="J68" s="131">
        <v>4.543657</v>
      </c>
      <c r="K68" s="125">
        <v>5.260555</v>
      </c>
      <c r="L68" s="125">
        <v>3.659237</v>
      </c>
      <c r="M68" s="125">
        <v>5.660303</v>
      </c>
      <c r="N68" s="125">
        <v>3.84496</v>
      </c>
      <c r="O68" s="129">
        <v>5.461606</v>
      </c>
      <c r="Q68" s="128" t="str">
        <f t="shared" si="8"/>
        <v>C/dB</v>
      </c>
      <c r="R68" s="127">
        <f t="shared" si="9"/>
        <v>-2.603967</v>
      </c>
      <c r="S68" s="127">
        <f t="shared" si="9"/>
        <v>-2.455832</v>
      </c>
      <c r="T68" s="127">
        <f t="shared" si="9"/>
        <v>-2.404217</v>
      </c>
      <c r="U68" s="127">
        <f t="shared" si="9"/>
        <v>-2.4609859999999997</v>
      </c>
      <c r="V68" s="127">
        <f t="shared" si="9"/>
        <v>-2.1863609999999998</v>
      </c>
      <c r="W68" s="127">
        <f t="shared" si="9"/>
        <v>-2.3128249999999997</v>
      </c>
    </row>
    <row r="69" spans="1:23" ht="12.75">
      <c r="A69" s="130" t="s">
        <v>12</v>
      </c>
      <c r="B69" s="131">
        <v>84.684486</v>
      </c>
      <c r="C69" s="125">
        <v>75.060722</v>
      </c>
      <c r="D69" s="125">
        <v>90.780983</v>
      </c>
      <c r="E69" s="125">
        <v>71.695114</v>
      </c>
      <c r="F69" s="125">
        <v>86.538719</v>
      </c>
      <c r="G69" s="129">
        <v>72.895042</v>
      </c>
      <c r="H69" s="125"/>
      <c r="I69" s="130" t="s">
        <v>12</v>
      </c>
      <c r="J69" s="131">
        <v>60.963161</v>
      </c>
      <c r="K69" s="125">
        <v>53.802074</v>
      </c>
      <c r="L69" s="125">
        <v>67.542976</v>
      </c>
      <c r="M69" s="125">
        <v>51.400204</v>
      </c>
      <c r="N69" s="125">
        <v>65.206001</v>
      </c>
      <c r="O69" s="129">
        <v>53.638515</v>
      </c>
      <c r="Q69" s="128" t="str">
        <f t="shared" si="8"/>
        <v>TS/ms</v>
      </c>
      <c r="R69" s="127">
        <f t="shared" si="9"/>
        <v>23.721325000000007</v>
      </c>
      <c r="S69" s="127">
        <f t="shared" si="9"/>
        <v>21.258648</v>
      </c>
      <c r="T69" s="127">
        <f t="shared" si="9"/>
        <v>23.23800700000001</v>
      </c>
      <c r="U69" s="127">
        <f t="shared" si="9"/>
        <v>20.29491</v>
      </c>
      <c r="V69" s="127">
        <f t="shared" si="9"/>
        <v>21.332718</v>
      </c>
      <c r="W69" s="127">
        <f t="shared" si="9"/>
        <v>19.256527000000006</v>
      </c>
    </row>
    <row r="70" spans="1:23" ht="12.75">
      <c r="A70" s="130" t="s">
        <v>13</v>
      </c>
      <c r="B70" s="131">
        <v>19.220097</v>
      </c>
      <c r="C70" s="125">
        <v>20.313538</v>
      </c>
      <c r="D70" s="125">
        <v>19.248348</v>
      </c>
      <c r="E70" s="125">
        <v>20.100512</v>
      </c>
      <c r="F70" s="125">
        <v>19.41135</v>
      </c>
      <c r="G70" s="129">
        <v>20.35598</v>
      </c>
      <c r="H70" s="125"/>
      <c r="I70" s="130" t="s">
        <v>13</v>
      </c>
      <c r="J70" s="131">
        <v>17.749821</v>
      </c>
      <c r="K70" s="125">
        <v>19.139696</v>
      </c>
      <c r="L70" s="125">
        <v>17.990372</v>
      </c>
      <c r="M70" s="125">
        <v>18.81105</v>
      </c>
      <c r="N70" s="125">
        <v>18.205917</v>
      </c>
      <c r="O70" s="129">
        <v>19.429707</v>
      </c>
      <c r="Q70" s="128" t="str">
        <f t="shared" si="8"/>
        <v>G/dB</v>
      </c>
      <c r="R70" s="127">
        <f t="shared" si="9"/>
        <v>1.4702759999999984</v>
      </c>
      <c r="S70" s="127">
        <f t="shared" si="9"/>
        <v>1.1738420000000005</v>
      </c>
      <c r="T70" s="127">
        <f t="shared" si="9"/>
        <v>1.2579759999999993</v>
      </c>
      <c r="U70" s="127">
        <f t="shared" si="9"/>
        <v>1.2894619999999968</v>
      </c>
      <c r="V70" s="127">
        <f t="shared" si="9"/>
        <v>1.2054329999999993</v>
      </c>
      <c r="W70" s="127">
        <f t="shared" si="9"/>
        <v>0.9262729999999983</v>
      </c>
    </row>
    <row r="71" spans="1:23" ht="12.75">
      <c r="A71" s="130" t="s">
        <v>14</v>
      </c>
      <c r="B71" s="131">
        <v>26.971617</v>
      </c>
      <c r="C71" s="125">
        <v>23.177538</v>
      </c>
      <c r="D71" s="125">
        <v>25.197845</v>
      </c>
      <c r="E71" s="125">
        <v>22.884026</v>
      </c>
      <c r="F71" s="125">
        <v>26.169714</v>
      </c>
      <c r="G71" s="129">
        <v>25.406801</v>
      </c>
      <c r="H71" s="125"/>
      <c r="I71" s="130" t="s">
        <v>14</v>
      </c>
      <c r="J71" s="131">
        <v>22.383219</v>
      </c>
      <c r="K71" s="125">
        <v>22.125179</v>
      </c>
      <c r="L71" s="125">
        <v>26.066319</v>
      </c>
      <c r="M71" s="125">
        <v>19.520792</v>
      </c>
      <c r="N71" s="125">
        <v>23.577286</v>
      </c>
      <c r="O71" s="129">
        <v>23.682911</v>
      </c>
      <c r="Q71" s="128" t="str">
        <f t="shared" si="8"/>
        <v>LF/%</v>
      </c>
      <c r="R71" s="127">
        <f t="shared" si="9"/>
        <v>4.588397999999998</v>
      </c>
      <c r="S71" s="127">
        <f t="shared" si="9"/>
        <v>1.0523589999999992</v>
      </c>
      <c r="T71" s="127">
        <f t="shared" si="9"/>
        <v>-0.8684739999999991</v>
      </c>
      <c r="U71" s="127">
        <f t="shared" si="9"/>
        <v>3.3632339999999985</v>
      </c>
      <c r="V71" s="127">
        <f t="shared" si="9"/>
        <v>2.592427999999998</v>
      </c>
      <c r="W71" s="127">
        <f t="shared" si="9"/>
        <v>1.7238900000000008</v>
      </c>
    </row>
    <row r="72" spans="1:23" ht="12.75">
      <c r="A72" s="130" t="s">
        <v>15</v>
      </c>
      <c r="B72" s="131">
        <v>38.652981</v>
      </c>
      <c r="C72" s="125">
        <v>34.401985</v>
      </c>
      <c r="D72" s="125">
        <v>39.385147</v>
      </c>
      <c r="E72" s="125">
        <v>33.844635</v>
      </c>
      <c r="F72" s="125">
        <v>39.326305</v>
      </c>
      <c r="G72" s="129">
        <v>37.205044</v>
      </c>
      <c r="H72" s="125"/>
      <c r="I72" s="130" t="s">
        <v>15</v>
      </c>
      <c r="J72" s="131">
        <v>33.815372</v>
      </c>
      <c r="K72" s="125">
        <v>33.048763</v>
      </c>
      <c r="L72" s="125">
        <v>39.90414</v>
      </c>
      <c r="M72" s="125">
        <v>30.092152</v>
      </c>
      <c r="N72" s="125">
        <v>36.64333</v>
      </c>
      <c r="O72" s="129">
        <v>35.395863</v>
      </c>
      <c r="Q72" s="128" t="str">
        <f t="shared" si="8"/>
        <v>LFC/%</v>
      </c>
      <c r="R72" s="127">
        <f t="shared" si="9"/>
        <v>4.837608999999993</v>
      </c>
      <c r="S72" s="127">
        <f t="shared" si="9"/>
        <v>1.3532220000000024</v>
      </c>
      <c r="T72" s="127">
        <f t="shared" si="9"/>
        <v>-0.5189929999999947</v>
      </c>
      <c r="U72" s="127">
        <f t="shared" si="9"/>
        <v>3.752482999999998</v>
      </c>
      <c r="V72" s="127">
        <f t="shared" si="9"/>
        <v>2.682974999999999</v>
      </c>
      <c r="W72" s="127">
        <f t="shared" si="9"/>
        <v>1.8091810000000024</v>
      </c>
    </row>
    <row r="73" spans="1:23" ht="12.75">
      <c r="A73" s="134" t="s">
        <v>16</v>
      </c>
      <c r="B73" s="135"/>
      <c r="C73" s="132"/>
      <c r="D73" s="132"/>
      <c r="E73" s="132"/>
      <c r="F73" s="132"/>
      <c r="G73" s="133"/>
      <c r="H73" s="125"/>
      <c r="I73" s="134" t="s">
        <v>16</v>
      </c>
      <c r="J73" s="135"/>
      <c r="K73" s="132"/>
      <c r="L73" s="132"/>
      <c r="M73" s="132"/>
      <c r="N73" s="132"/>
      <c r="O73" s="133"/>
      <c r="Q73" s="128" t="str">
        <f t="shared" si="8"/>
        <v>IACC</v>
      </c>
      <c r="R73" s="127">
        <f t="shared" si="9"/>
        <v>0</v>
      </c>
      <c r="S73" s="127">
        <f t="shared" si="9"/>
        <v>0</v>
      </c>
      <c r="T73" s="127">
        <f t="shared" si="9"/>
        <v>0</v>
      </c>
      <c r="U73" s="127">
        <f t="shared" si="9"/>
        <v>0</v>
      </c>
      <c r="V73" s="127">
        <f t="shared" si="9"/>
        <v>0</v>
      </c>
      <c r="W73" s="127">
        <f t="shared" si="9"/>
        <v>0</v>
      </c>
    </row>
    <row r="74" spans="5:15" ht="12.75">
      <c r="E74" s="136"/>
      <c r="F74" s="136"/>
      <c r="G74" s="136"/>
      <c r="H74" s="136"/>
      <c r="M74" s="136"/>
      <c r="N74" s="136"/>
      <c r="O74" s="136"/>
    </row>
    <row r="75" spans="1:18" ht="12.75">
      <c r="A75" s="155" t="s">
        <v>21</v>
      </c>
      <c r="B75" s="156" t="s">
        <v>1</v>
      </c>
      <c r="E75" s="136"/>
      <c r="F75" s="136"/>
      <c r="G75" s="136"/>
      <c r="H75" s="136"/>
      <c r="I75" s="155" t="s">
        <v>21</v>
      </c>
      <c r="J75" s="156" t="s">
        <v>1</v>
      </c>
      <c r="M75" s="136"/>
      <c r="N75" s="136"/>
      <c r="O75" s="136"/>
      <c r="Q75" s="128" t="str">
        <f>+A75</f>
        <v>4000 Hz</v>
      </c>
      <c r="R75" s="128" t="str">
        <f>+B75</f>
        <v>octave</v>
      </c>
    </row>
    <row r="76" spans="1:23" ht="12.75">
      <c r="A76" s="142"/>
      <c r="B76" s="140" t="s">
        <v>2</v>
      </c>
      <c r="C76" s="140" t="s">
        <v>3</v>
      </c>
      <c r="D76" s="139" t="s">
        <v>4</v>
      </c>
      <c r="E76" s="139" t="s">
        <v>5</v>
      </c>
      <c r="F76" s="140" t="s">
        <v>6</v>
      </c>
      <c r="G76" s="139" t="s">
        <v>7</v>
      </c>
      <c r="H76" s="141"/>
      <c r="I76" s="142"/>
      <c r="J76" s="140" t="s">
        <v>2</v>
      </c>
      <c r="K76" s="140" t="s">
        <v>3</v>
      </c>
      <c r="L76" s="139" t="s">
        <v>4</v>
      </c>
      <c r="M76" s="139" t="s">
        <v>5</v>
      </c>
      <c r="N76" s="140" t="s">
        <v>6</v>
      </c>
      <c r="O76" s="139" t="s">
        <v>7</v>
      </c>
      <c r="Q76" s="128">
        <f>+A76</f>
        <v>0</v>
      </c>
      <c r="R76" s="128" t="str">
        <f>+B76</f>
        <v>S1R1</v>
      </c>
      <c r="S76" s="128" t="str">
        <f>+C76</f>
        <v>S1R2</v>
      </c>
      <c r="T76" s="128" t="str">
        <f>+D76</f>
        <v>S1R3</v>
      </c>
      <c r="U76" s="128" t="str">
        <f>+E76</f>
        <v>S2R1</v>
      </c>
      <c r="V76" s="128" t="str">
        <f>+F76</f>
        <v>S2R2</v>
      </c>
      <c r="W76" s="128" t="str">
        <f>+G76</f>
        <v>S2R3</v>
      </c>
    </row>
    <row r="77" spans="1:23" ht="12.75">
      <c r="A77" s="130" t="s">
        <v>8</v>
      </c>
      <c r="B77" s="145">
        <v>0.934771</v>
      </c>
      <c r="C77" s="143">
        <v>0.929405</v>
      </c>
      <c r="D77" s="143">
        <v>0.931613</v>
      </c>
      <c r="E77" s="125">
        <v>0.928391</v>
      </c>
      <c r="F77" s="143">
        <v>0.927066</v>
      </c>
      <c r="G77" s="144">
        <v>0.928793</v>
      </c>
      <c r="H77" s="125"/>
      <c r="I77" s="130" t="s">
        <v>8</v>
      </c>
      <c r="J77" s="145">
        <v>0.67845</v>
      </c>
      <c r="K77" s="143">
        <v>0.678361</v>
      </c>
      <c r="L77" s="143">
        <v>0.678344</v>
      </c>
      <c r="M77" s="125">
        <v>0.677344</v>
      </c>
      <c r="N77" s="143">
        <v>0.677647</v>
      </c>
      <c r="O77" s="144">
        <v>0.678817</v>
      </c>
      <c r="Q77" s="128" t="str">
        <f aca="true" t="shared" si="10" ref="Q77:Q85">+A77</f>
        <v>T30/s</v>
      </c>
      <c r="R77" s="127">
        <f aca="true" t="shared" si="11" ref="R77:W85">+B77-J77</f>
        <v>0.256321</v>
      </c>
      <c r="S77" s="127">
        <f t="shared" si="11"/>
        <v>0.25104400000000004</v>
      </c>
      <c r="T77" s="127">
        <f t="shared" si="11"/>
        <v>0.2532690000000001</v>
      </c>
      <c r="U77" s="127">
        <f t="shared" si="11"/>
        <v>0.251047</v>
      </c>
      <c r="V77" s="127">
        <f t="shared" si="11"/>
        <v>0.24941899999999995</v>
      </c>
      <c r="W77" s="127">
        <f t="shared" si="11"/>
        <v>0.24997599999999998</v>
      </c>
    </row>
    <row r="78" spans="1:23" ht="12.75">
      <c r="A78" s="130" t="s">
        <v>9</v>
      </c>
      <c r="B78" s="131">
        <v>0.96986</v>
      </c>
      <c r="C78" s="125">
        <v>0.943497</v>
      </c>
      <c r="D78" s="125">
        <v>0.980019</v>
      </c>
      <c r="E78" s="125">
        <v>0.932647</v>
      </c>
      <c r="F78" s="125">
        <v>0.955871</v>
      </c>
      <c r="G78" s="129">
        <v>0.928863</v>
      </c>
      <c r="H78" s="125"/>
      <c r="I78" s="130" t="s">
        <v>9</v>
      </c>
      <c r="J78" s="131">
        <v>0.670002</v>
      </c>
      <c r="K78" s="125">
        <v>0.675979</v>
      </c>
      <c r="L78" s="125">
        <v>0.694737</v>
      </c>
      <c r="M78" s="125">
        <v>0.656268</v>
      </c>
      <c r="N78" s="125">
        <v>0.703473</v>
      </c>
      <c r="O78" s="129">
        <v>0.658182</v>
      </c>
      <c r="Q78" s="128" t="str">
        <f t="shared" si="10"/>
        <v>EDT/s</v>
      </c>
      <c r="R78" s="127">
        <f t="shared" si="11"/>
        <v>0.29985800000000007</v>
      </c>
      <c r="S78" s="127">
        <f t="shared" si="11"/>
        <v>0.26751800000000003</v>
      </c>
      <c r="T78" s="127">
        <f t="shared" si="11"/>
        <v>0.2852819999999999</v>
      </c>
      <c r="U78" s="127">
        <f t="shared" si="11"/>
        <v>0.27637900000000004</v>
      </c>
      <c r="V78" s="127">
        <f t="shared" si="11"/>
        <v>0.252398</v>
      </c>
      <c r="W78" s="127">
        <f t="shared" si="11"/>
        <v>0.27068099999999995</v>
      </c>
    </row>
    <row r="79" spans="1:23" ht="12.75">
      <c r="A79" s="130" t="s">
        <v>10</v>
      </c>
      <c r="B79" s="131">
        <v>47.861599</v>
      </c>
      <c r="C79" s="125">
        <v>53.895439</v>
      </c>
      <c r="D79" s="125">
        <v>43.15493</v>
      </c>
      <c r="E79" s="125">
        <v>57.431866</v>
      </c>
      <c r="F79" s="125">
        <v>45.666912</v>
      </c>
      <c r="G79" s="129">
        <v>56.866196</v>
      </c>
      <c r="H79" s="125"/>
      <c r="I79" s="130" t="s">
        <v>10</v>
      </c>
      <c r="J79" s="131">
        <v>61.461205</v>
      </c>
      <c r="K79" s="125">
        <v>66.938324</v>
      </c>
      <c r="L79" s="125">
        <v>55.611336</v>
      </c>
      <c r="M79" s="125">
        <v>69.00663</v>
      </c>
      <c r="N79" s="125">
        <v>57.434761</v>
      </c>
      <c r="O79" s="129">
        <v>67.419716</v>
      </c>
      <c r="Q79" s="128" t="str">
        <f t="shared" si="10"/>
        <v>D/%</v>
      </c>
      <c r="R79" s="127">
        <f t="shared" si="11"/>
        <v>-13.599606000000001</v>
      </c>
      <c r="S79" s="127">
        <f t="shared" si="11"/>
        <v>-13.042884999999991</v>
      </c>
      <c r="T79" s="127">
        <f t="shared" si="11"/>
        <v>-12.456406000000001</v>
      </c>
      <c r="U79" s="127">
        <f t="shared" si="11"/>
        <v>-11.574764000000002</v>
      </c>
      <c r="V79" s="127">
        <f t="shared" si="11"/>
        <v>-11.767848999999998</v>
      </c>
      <c r="W79" s="127">
        <f t="shared" si="11"/>
        <v>-10.553519999999992</v>
      </c>
    </row>
    <row r="80" spans="1:23" ht="12.75">
      <c r="A80" s="130" t="s">
        <v>11</v>
      </c>
      <c r="B80" s="131">
        <v>2.828574</v>
      </c>
      <c r="C80" s="125">
        <v>3.718344</v>
      </c>
      <c r="D80" s="125">
        <v>2.12396</v>
      </c>
      <c r="E80" s="125">
        <v>4.142472</v>
      </c>
      <c r="F80" s="125">
        <v>2.541818</v>
      </c>
      <c r="G80" s="129">
        <v>4.083007</v>
      </c>
      <c r="H80" s="125"/>
      <c r="I80" s="130" t="s">
        <v>11</v>
      </c>
      <c r="J80" s="131">
        <v>5.724118</v>
      </c>
      <c r="K80" s="125">
        <v>6.467573</v>
      </c>
      <c r="L80" s="125">
        <v>4.772408</v>
      </c>
      <c r="M80" s="125">
        <v>6.909537</v>
      </c>
      <c r="N80" s="125">
        <v>4.959995</v>
      </c>
      <c r="O80" s="129">
        <v>6.646783</v>
      </c>
      <c r="Q80" s="128" t="str">
        <f t="shared" si="10"/>
        <v>C/dB</v>
      </c>
      <c r="R80" s="127">
        <f t="shared" si="11"/>
        <v>-2.8955439999999997</v>
      </c>
      <c r="S80" s="127">
        <f t="shared" si="11"/>
        <v>-2.7492289999999997</v>
      </c>
      <c r="T80" s="127">
        <f t="shared" si="11"/>
        <v>-2.6484480000000006</v>
      </c>
      <c r="U80" s="127">
        <f t="shared" si="11"/>
        <v>-2.7670650000000006</v>
      </c>
      <c r="V80" s="127">
        <f t="shared" si="11"/>
        <v>-2.418177</v>
      </c>
      <c r="W80" s="127">
        <f t="shared" si="11"/>
        <v>-2.563776</v>
      </c>
    </row>
    <row r="81" spans="1:23" ht="12.75">
      <c r="A81" s="130" t="s">
        <v>12</v>
      </c>
      <c r="B81" s="131">
        <v>74.765846</v>
      </c>
      <c r="C81" s="125">
        <v>65.696762</v>
      </c>
      <c r="D81" s="125">
        <v>80.662529</v>
      </c>
      <c r="E81" s="125">
        <v>62.402428</v>
      </c>
      <c r="F81" s="125">
        <v>76.606285</v>
      </c>
      <c r="G81" s="129">
        <v>63.608589</v>
      </c>
      <c r="H81" s="125"/>
      <c r="I81" s="130" t="s">
        <v>12</v>
      </c>
      <c r="J81" s="131">
        <v>53.316692</v>
      </c>
      <c r="K81" s="125">
        <v>46.497578</v>
      </c>
      <c r="L81" s="125">
        <v>59.681534</v>
      </c>
      <c r="M81" s="125">
        <v>44.228939</v>
      </c>
      <c r="N81" s="125">
        <v>57.343262</v>
      </c>
      <c r="O81" s="129">
        <v>46.575584</v>
      </c>
      <c r="Q81" s="128" t="str">
        <f t="shared" si="10"/>
        <v>TS/ms</v>
      </c>
      <c r="R81" s="127">
        <f t="shared" si="11"/>
        <v>21.449153999999993</v>
      </c>
      <c r="S81" s="127">
        <f t="shared" si="11"/>
        <v>19.19918400000001</v>
      </c>
      <c r="T81" s="127">
        <f t="shared" si="11"/>
        <v>20.980995000000007</v>
      </c>
      <c r="U81" s="127">
        <f t="shared" si="11"/>
        <v>18.173489000000004</v>
      </c>
      <c r="V81" s="127">
        <f t="shared" si="11"/>
        <v>19.263022999999997</v>
      </c>
      <c r="W81" s="127">
        <f t="shared" si="11"/>
        <v>17.033005000000003</v>
      </c>
    </row>
    <row r="82" spans="1:23" ht="12.75">
      <c r="A82" s="130" t="s">
        <v>13</v>
      </c>
      <c r="B82" s="131">
        <v>18.615849</v>
      </c>
      <c r="C82" s="125">
        <v>19.768665</v>
      </c>
      <c r="D82" s="125">
        <v>18.597902</v>
      </c>
      <c r="E82" s="125">
        <v>19.594007</v>
      </c>
      <c r="F82" s="125">
        <v>18.779894</v>
      </c>
      <c r="G82" s="129">
        <v>19.826912</v>
      </c>
      <c r="H82" s="125"/>
      <c r="I82" s="130" t="s">
        <v>13</v>
      </c>
      <c r="J82" s="131">
        <v>17.075453</v>
      </c>
      <c r="K82" s="125">
        <v>18.581404</v>
      </c>
      <c r="L82" s="125">
        <v>17.297997</v>
      </c>
      <c r="M82" s="125">
        <v>18.248148</v>
      </c>
      <c r="N82" s="125">
        <v>17.532211</v>
      </c>
      <c r="O82" s="129">
        <v>18.892904</v>
      </c>
      <c r="Q82" s="128" t="str">
        <f t="shared" si="10"/>
        <v>G/dB</v>
      </c>
      <c r="R82" s="127">
        <f t="shared" si="11"/>
        <v>1.5403960000000012</v>
      </c>
      <c r="S82" s="127">
        <f t="shared" si="11"/>
        <v>1.1872609999999995</v>
      </c>
      <c r="T82" s="127">
        <f t="shared" si="11"/>
        <v>1.2999050000000025</v>
      </c>
      <c r="U82" s="127">
        <f t="shared" si="11"/>
        <v>1.3458590000000008</v>
      </c>
      <c r="V82" s="127">
        <f t="shared" si="11"/>
        <v>1.2476829999999985</v>
      </c>
      <c r="W82" s="127">
        <f t="shared" si="11"/>
        <v>0.9340079999999986</v>
      </c>
    </row>
    <row r="83" spans="1:23" ht="12.75">
      <c r="A83" s="130" t="s">
        <v>14</v>
      </c>
      <c r="B83" s="131">
        <v>26.654209</v>
      </c>
      <c r="C83" s="125">
        <v>22.824535</v>
      </c>
      <c r="D83" s="125">
        <v>24.724232</v>
      </c>
      <c r="E83" s="125">
        <v>22.588232</v>
      </c>
      <c r="F83" s="125">
        <v>25.885569</v>
      </c>
      <c r="G83" s="129">
        <v>25.080362</v>
      </c>
      <c r="H83" s="125"/>
      <c r="I83" s="130" t="s">
        <v>14</v>
      </c>
      <c r="J83" s="131">
        <v>21.429192</v>
      </c>
      <c r="K83" s="125">
        <v>21.654839</v>
      </c>
      <c r="L83" s="125">
        <v>25.367718</v>
      </c>
      <c r="M83" s="125">
        <v>18.584316</v>
      </c>
      <c r="N83" s="125">
        <v>22.941509</v>
      </c>
      <c r="O83" s="129">
        <v>23.076164</v>
      </c>
      <c r="Q83" s="128" t="str">
        <f t="shared" si="10"/>
        <v>LF/%</v>
      </c>
      <c r="R83" s="127">
        <f t="shared" si="11"/>
        <v>5.225017000000001</v>
      </c>
      <c r="S83" s="127">
        <f t="shared" si="11"/>
        <v>1.1696960000000018</v>
      </c>
      <c r="T83" s="127">
        <f t="shared" si="11"/>
        <v>-0.6434859999999993</v>
      </c>
      <c r="U83" s="127">
        <f t="shared" si="11"/>
        <v>4.003916</v>
      </c>
      <c r="V83" s="127">
        <f t="shared" si="11"/>
        <v>2.9440600000000003</v>
      </c>
      <c r="W83" s="127">
        <f t="shared" si="11"/>
        <v>2.0041980000000024</v>
      </c>
    </row>
    <row r="84" spans="1:23" ht="12.75">
      <c r="A84" s="130" t="s">
        <v>15</v>
      </c>
      <c r="B84" s="131">
        <v>38.170658</v>
      </c>
      <c r="C84" s="125">
        <v>33.871586</v>
      </c>
      <c r="D84" s="125">
        <v>38.825558</v>
      </c>
      <c r="E84" s="125">
        <v>33.355568</v>
      </c>
      <c r="F84" s="125">
        <v>38.874409</v>
      </c>
      <c r="G84" s="129">
        <v>36.663578</v>
      </c>
      <c r="H84" s="125"/>
      <c r="I84" s="130" t="s">
        <v>15</v>
      </c>
      <c r="J84" s="131">
        <v>32.594837</v>
      </c>
      <c r="K84" s="125">
        <v>32.318665</v>
      </c>
      <c r="L84" s="125">
        <v>39.087238</v>
      </c>
      <c r="M84" s="125">
        <v>28.872036</v>
      </c>
      <c r="N84" s="125">
        <v>35.791382</v>
      </c>
      <c r="O84" s="129">
        <v>34.50042</v>
      </c>
      <c r="Q84" s="128" t="str">
        <f t="shared" si="10"/>
        <v>LFC/%</v>
      </c>
      <c r="R84" s="127">
        <f t="shared" si="11"/>
        <v>5.575821000000005</v>
      </c>
      <c r="S84" s="127">
        <f t="shared" si="11"/>
        <v>1.5529209999999978</v>
      </c>
      <c r="T84" s="127">
        <f t="shared" si="11"/>
        <v>-0.26167999999999836</v>
      </c>
      <c r="U84" s="127">
        <f t="shared" si="11"/>
        <v>4.483531999999997</v>
      </c>
      <c r="V84" s="127">
        <f t="shared" si="11"/>
        <v>3.0830270000000013</v>
      </c>
      <c r="W84" s="127">
        <f t="shared" si="11"/>
        <v>2.163158000000003</v>
      </c>
    </row>
    <row r="85" spans="1:23" ht="12.75">
      <c r="A85" s="134" t="s">
        <v>16</v>
      </c>
      <c r="B85" s="135"/>
      <c r="C85" s="132"/>
      <c r="D85" s="132"/>
      <c r="E85" s="132"/>
      <c r="F85" s="132"/>
      <c r="G85" s="133"/>
      <c r="H85" s="125"/>
      <c r="I85" s="134" t="s">
        <v>16</v>
      </c>
      <c r="J85" s="135"/>
      <c r="K85" s="132"/>
      <c r="L85" s="132"/>
      <c r="M85" s="132"/>
      <c r="N85" s="132"/>
      <c r="O85" s="133"/>
      <c r="Q85" s="128" t="str">
        <f t="shared" si="10"/>
        <v>IACC</v>
      </c>
      <c r="R85" s="127">
        <f t="shared" si="11"/>
        <v>0</v>
      </c>
      <c r="S85" s="127">
        <f t="shared" si="11"/>
        <v>0</v>
      </c>
      <c r="T85" s="127">
        <f t="shared" si="11"/>
        <v>0</v>
      </c>
      <c r="U85" s="127">
        <f t="shared" si="11"/>
        <v>0</v>
      </c>
      <c r="V85" s="127">
        <f t="shared" si="11"/>
        <v>0</v>
      </c>
      <c r="W85" s="127">
        <f t="shared" si="11"/>
        <v>0</v>
      </c>
    </row>
    <row r="86" spans="5:15" ht="12.75">
      <c r="E86" s="136"/>
      <c r="F86" s="136"/>
      <c r="G86" s="136"/>
      <c r="H86" s="136"/>
      <c r="M86" s="136"/>
      <c r="N86" s="136"/>
      <c r="O86" s="136"/>
    </row>
    <row r="87" spans="5:15" ht="12.75">
      <c r="E87" s="136"/>
      <c r="F87" s="136"/>
      <c r="G87" s="136"/>
      <c r="H87" s="136"/>
      <c r="M87" s="136"/>
      <c r="N87" s="136"/>
      <c r="O87" s="136"/>
    </row>
    <row r="88" spans="1:15" ht="12.75">
      <c r="A88" s="146"/>
      <c r="E88" s="136"/>
      <c r="F88" s="136"/>
      <c r="G88" s="136"/>
      <c r="H88" s="136"/>
      <c r="I88" s="146"/>
      <c r="M88" s="136"/>
      <c r="N88" s="136"/>
      <c r="O88" s="136"/>
    </row>
    <row r="89" spans="5:15" ht="12.75">
      <c r="E89" s="136"/>
      <c r="F89" s="136"/>
      <c r="G89" s="136"/>
      <c r="H89" s="136"/>
      <c r="M89" s="136"/>
      <c r="N89" s="136"/>
      <c r="O89" s="136"/>
    </row>
    <row r="90" spans="5:15" ht="12.75">
      <c r="E90" s="136"/>
      <c r="F90" s="136"/>
      <c r="G90" s="136"/>
      <c r="H90" s="136"/>
      <c r="M90" s="136"/>
      <c r="N90" s="136"/>
      <c r="O90" s="136"/>
    </row>
    <row r="91" spans="5:15" ht="12.75">
      <c r="E91" s="136"/>
      <c r="F91" s="136"/>
      <c r="G91" s="136"/>
      <c r="H91" s="136"/>
      <c r="M91" s="136"/>
      <c r="N91" s="136"/>
      <c r="O91" s="136"/>
    </row>
    <row r="92" spans="5:15" ht="12.75">
      <c r="E92" s="136"/>
      <c r="F92" s="136"/>
      <c r="G92" s="136"/>
      <c r="H92" s="136"/>
      <c r="M92" s="136"/>
      <c r="N92" s="136"/>
      <c r="O92" s="136"/>
    </row>
    <row r="93" spans="5:15" ht="12.75">
      <c r="E93" s="136"/>
      <c r="F93" s="136"/>
      <c r="G93" s="136"/>
      <c r="H93" s="136"/>
      <c r="M93" s="136"/>
      <c r="N93" s="136"/>
      <c r="O93" s="136"/>
    </row>
  </sheetData>
  <printOptions/>
  <pageMargins left="0.75" right="0.75" top="1" bottom="1" header="0.4921259845" footer="0.4921259845"/>
  <pageSetup fitToHeight="1" fitToWidth="1" horizontalDpi="300" verticalDpi="300" orientation="portrait" paperSize="9" scale="51" r:id="rId1"/>
  <headerFooter alignWithMargins="0">
    <oddHeader>&amp;C&amp;A</oddHeader>
    <oddFooter>&amp;LPTB 1.401&amp;CSeite &amp;P&amp;R&amp;D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W107"/>
  <sheetViews>
    <sheetView zoomScale="75" zoomScaleNormal="75" workbookViewId="0" topLeftCell="A1">
      <selection activeCell="F37" sqref="F37"/>
    </sheetView>
  </sheetViews>
  <sheetFormatPr defaultColWidth="11.5546875" defaultRowHeight="15"/>
  <cols>
    <col min="1" max="1" width="7.77734375" style="128" customWidth="1"/>
    <col min="2" max="2" width="8.3359375" style="128" customWidth="1"/>
    <col min="3" max="16" width="6.77734375" style="128" customWidth="1"/>
    <col min="17" max="17" width="11.5546875" style="128" customWidth="1" collapsed="1"/>
    <col min="18" max="16384" width="11.5546875" style="128" customWidth="1"/>
  </cols>
  <sheetData>
    <row r="1" spans="1:21" ht="13.5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  <c r="P1" s="156"/>
      <c r="Q1" s="156"/>
      <c r="R1" s="156"/>
      <c r="S1" s="217"/>
      <c r="T1" s="156"/>
      <c r="U1" s="158"/>
    </row>
    <row r="2" spans="1:21" ht="13.5" thickBot="1">
      <c r="A2" s="3"/>
      <c r="B2" s="4"/>
      <c r="F2" s="156"/>
      <c r="P2" s="156"/>
      <c r="Q2" s="156"/>
      <c r="R2" s="156"/>
      <c r="S2" s="217"/>
      <c r="T2" s="156"/>
      <c r="U2" s="158"/>
    </row>
    <row r="3" spans="2:21" ht="12.75">
      <c r="B3" s="156"/>
      <c r="P3" s="156"/>
      <c r="Q3" s="156"/>
      <c r="R3" s="156"/>
      <c r="S3" s="217"/>
      <c r="T3" s="218"/>
      <c r="U3" s="158"/>
    </row>
    <row r="4" spans="2:21" ht="12.75">
      <c r="B4" s="218"/>
      <c r="E4" s="218"/>
      <c r="H4" s="156"/>
      <c r="P4" s="156"/>
      <c r="Q4" s="156"/>
      <c r="R4" s="156"/>
      <c r="S4" s="217"/>
      <c r="T4" s="218"/>
      <c r="U4" s="158"/>
    </row>
    <row r="5" spans="1:21" ht="12.75">
      <c r="A5" s="150"/>
      <c r="B5" s="151"/>
      <c r="C5" s="151"/>
      <c r="D5" s="152"/>
      <c r="G5" s="150"/>
      <c r="P5" s="219"/>
      <c r="Q5" s="219"/>
      <c r="R5" s="219"/>
      <c r="S5" s="217"/>
      <c r="T5" s="156"/>
      <c r="U5" s="158"/>
    </row>
    <row r="6" spans="1:21" ht="12" customHeight="1">
      <c r="A6" s="153"/>
      <c r="B6" s="151"/>
      <c r="C6" s="151"/>
      <c r="P6" s="220"/>
      <c r="Q6" s="220"/>
      <c r="R6" s="220"/>
      <c r="S6" s="217"/>
      <c r="T6" s="220"/>
      <c r="U6" s="158"/>
    </row>
    <row r="7" spans="2:20" ht="12.75">
      <c r="B7" s="151"/>
      <c r="C7" s="151"/>
      <c r="P7" s="63"/>
      <c r="Q7" s="63"/>
      <c r="R7" s="63"/>
      <c r="S7" s="217"/>
      <c r="T7" s="63"/>
    </row>
    <row r="8" spans="1:20" ht="12.75">
      <c r="A8" s="150"/>
      <c r="B8" s="151"/>
      <c r="C8" s="151"/>
      <c r="P8" s="63"/>
      <c r="Q8" s="63"/>
      <c r="R8" s="63"/>
      <c r="S8" s="217"/>
      <c r="T8" s="63"/>
    </row>
    <row r="9" spans="16:20" ht="12.75">
      <c r="P9" s="63"/>
      <c r="Q9" s="63"/>
      <c r="R9" s="63"/>
      <c r="S9" s="217"/>
      <c r="T9" s="221"/>
    </row>
    <row r="10" spans="16:20" ht="12.75">
      <c r="P10" s="63"/>
      <c r="Q10" s="63"/>
      <c r="R10" s="63"/>
      <c r="S10" s="217"/>
      <c r="T10" s="221"/>
    </row>
    <row r="11" spans="16:20" ht="12.75">
      <c r="P11" s="63"/>
      <c r="Q11" s="63"/>
      <c r="R11" s="63"/>
      <c r="S11" s="217"/>
      <c r="T11" s="63"/>
    </row>
    <row r="12" spans="1:20" ht="12.75">
      <c r="A12" s="82"/>
      <c r="B12" s="82"/>
      <c r="P12" s="63"/>
      <c r="Q12" s="158"/>
      <c r="R12" s="158"/>
      <c r="S12" s="158"/>
      <c r="T12" s="63"/>
    </row>
    <row r="13" ht="12.75"/>
    <row r="14" spans="1:17" ht="12.75">
      <c r="A14" s="128" t="s">
        <v>27</v>
      </c>
      <c r="I14" s="128" t="s">
        <v>28</v>
      </c>
      <c r="Q14" s="128" t="s">
        <v>32</v>
      </c>
    </row>
    <row r="15" spans="1:18" ht="12.75">
      <c r="A15" s="155" t="s">
        <v>0</v>
      </c>
      <c r="B15" s="156" t="s">
        <v>1</v>
      </c>
      <c r="E15" s="136"/>
      <c r="F15" s="136"/>
      <c r="G15" s="136"/>
      <c r="H15" s="136"/>
      <c r="I15" s="155" t="s">
        <v>0</v>
      </c>
      <c r="J15" s="156" t="s">
        <v>1</v>
      </c>
      <c r="M15" s="136"/>
      <c r="N15" s="136"/>
      <c r="O15" s="136"/>
      <c r="Q15" s="128" t="str">
        <f>+A15</f>
        <v>125 Hz</v>
      </c>
      <c r="R15" s="128" t="str">
        <f>+B15</f>
        <v>octave</v>
      </c>
    </row>
    <row r="16" spans="1:23" ht="12.75">
      <c r="A16" s="142"/>
      <c r="B16" s="140" t="s">
        <v>2</v>
      </c>
      <c r="C16" s="140" t="s">
        <v>3</v>
      </c>
      <c r="D16" s="139" t="s">
        <v>4</v>
      </c>
      <c r="E16" s="139" t="s">
        <v>5</v>
      </c>
      <c r="F16" s="140" t="s">
        <v>6</v>
      </c>
      <c r="G16" s="139" t="s">
        <v>7</v>
      </c>
      <c r="H16" s="141"/>
      <c r="I16" s="142"/>
      <c r="J16" s="140" t="s">
        <v>2</v>
      </c>
      <c r="K16" s="140" t="s">
        <v>3</v>
      </c>
      <c r="L16" s="139" t="s">
        <v>4</v>
      </c>
      <c r="M16" s="139" t="s">
        <v>5</v>
      </c>
      <c r="N16" s="140" t="s">
        <v>6</v>
      </c>
      <c r="O16" s="139" t="s">
        <v>7</v>
      </c>
      <c r="P16" s="157"/>
      <c r="Q16" s="128">
        <f>+A16</f>
        <v>0</v>
      </c>
      <c r="R16" s="128" t="str">
        <f>+B16</f>
        <v>S1R1</v>
      </c>
      <c r="S16" s="128" t="str">
        <f>+C16</f>
        <v>S1R2</v>
      </c>
      <c r="T16" s="128" t="str">
        <f>+D16</f>
        <v>S1R3</v>
      </c>
      <c r="U16" s="128" t="str">
        <f>+E16</f>
        <v>S2R1</v>
      </c>
      <c r="V16" s="128" t="str">
        <f>+F16</f>
        <v>S2R2</v>
      </c>
      <c r="W16" s="128" t="str">
        <f>+G16</f>
        <v>S2R3</v>
      </c>
    </row>
    <row r="17" spans="1:23" ht="12.75">
      <c r="A17" s="130" t="s">
        <v>8</v>
      </c>
      <c r="B17" s="145">
        <v>0.67</v>
      </c>
      <c r="C17" s="143">
        <v>0.66</v>
      </c>
      <c r="D17" s="143">
        <v>0.76</v>
      </c>
      <c r="E17" s="125">
        <v>0.67</v>
      </c>
      <c r="F17" s="143">
        <v>0.58</v>
      </c>
      <c r="G17" s="144">
        <v>0.73</v>
      </c>
      <c r="H17" s="125"/>
      <c r="I17" s="130" t="s">
        <v>8</v>
      </c>
      <c r="J17" s="222">
        <v>0.69</v>
      </c>
      <c r="K17" s="143">
        <v>0.66</v>
      </c>
      <c r="L17" s="143">
        <v>0.63</v>
      </c>
      <c r="M17" s="125">
        <v>0.63</v>
      </c>
      <c r="N17" s="143">
        <v>0.7</v>
      </c>
      <c r="O17" s="144">
        <v>0.63</v>
      </c>
      <c r="P17" s="158"/>
      <c r="Q17" s="128" t="str">
        <f aca="true" t="shared" si="0" ref="Q17:Q25">+A17</f>
        <v>T30/s</v>
      </c>
      <c r="R17" s="127">
        <f aca="true" t="shared" si="1" ref="R17:W25">+B17-J17</f>
        <v>-0.019999999999999907</v>
      </c>
      <c r="S17" s="127">
        <f t="shared" si="1"/>
        <v>0</v>
      </c>
      <c r="T17" s="127">
        <f t="shared" si="1"/>
        <v>0.13</v>
      </c>
      <c r="U17" s="127">
        <f t="shared" si="1"/>
        <v>0.040000000000000036</v>
      </c>
      <c r="V17" s="127">
        <f t="shared" si="1"/>
        <v>-0.12</v>
      </c>
      <c r="W17" s="127">
        <f t="shared" si="1"/>
        <v>0.09999999999999998</v>
      </c>
    </row>
    <row r="18" spans="1:23" ht="12.75">
      <c r="A18" s="130" t="s">
        <v>9</v>
      </c>
      <c r="B18" s="131">
        <v>0.66</v>
      </c>
      <c r="C18" s="125">
        <v>0.65</v>
      </c>
      <c r="D18" s="125">
        <v>0.75</v>
      </c>
      <c r="E18" s="125">
        <v>0.57</v>
      </c>
      <c r="F18" s="125">
        <v>0.66</v>
      </c>
      <c r="G18" s="129">
        <v>0.59</v>
      </c>
      <c r="H18" s="125"/>
      <c r="I18" s="130" t="s">
        <v>9</v>
      </c>
      <c r="J18" s="223">
        <v>0.63</v>
      </c>
      <c r="K18" s="125">
        <v>0.62</v>
      </c>
      <c r="L18" s="125">
        <v>0.71</v>
      </c>
      <c r="M18" s="125">
        <v>0.55</v>
      </c>
      <c r="N18" s="125">
        <v>0.65</v>
      </c>
      <c r="O18" s="129">
        <v>0.57</v>
      </c>
      <c r="P18" s="158"/>
      <c r="Q18" s="128" t="str">
        <f t="shared" si="0"/>
        <v>EDT/s</v>
      </c>
      <c r="R18" s="127">
        <f t="shared" si="1"/>
        <v>0.030000000000000027</v>
      </c>
      <c r="S18" s="127">
        <f t="shared" si="1"/>
        <v>0.030000000000000027</v>
      </c>
      <c r="T18" s="127">
        <f t="shared" si="1"/>
        <v>0.040000000000000036</v>
      </c>
      <c r="U18" s="127">
        <f t="shared" si="1"/>
        <v>0.019999999999999907</v>
      </c>
      <c r="V18" s="127">
        <f t="shared" si="1"/>
        <v>0.010000000000000009</v>
      </c>
      <c r="W18" s="127">
        <f t="shared" si="1"/>
        <v>0.020000000000000018</v>
      </c>
    </row>
    <row r="19" spans="1:23" ht="12.75">
      <c r="A19" s="130" t="s">
        <v>10</v>
      </c>
      <c r="B19" s="131">
        <v>66</v>
      </c>
      <c r="C19" s="125">
        <v>68</v>
      </c>
      <c r="D19" s="125">
        <v>61</v>
      </c>
      <c r="E19" s="125">
        <v>72</v>
      </c>
      <c r="F19" s="125">
        <v>66</v>
      </c>
      <c r="G19" s="129">
        <v>71</v>
      </c>
      <c r="H19" s="125"/>
      <c r="I19" s="130" t="s">
        <v>10</v>
      </c>
      <c r="J19" s="223">
        <v>69</v>
      </c>
      <c r="K19" s="125">
        <v>70</v>
      </c>
      <c r="L19" s="125">
        <v>63</v>
      </c>
      <c r="M19" s="125">
        <v>73</v>
      </c>
      <c r="N19" s="125">
        <v>66</v>
      </c>
      <c r="O19" s="129">
        <v>73</v>
      </c>
      <c r="P19" s="158"/>
      <c r="Q19" s="128" t="str">
        <f t="shared" si="0"/>
        <v>D/%</v>
      </c>
      <c r="R19" s="127">
        <f t="shared" si="1"/>
        <v>-3</v>
      </c>
      <c r="S19" s="127">
        <f t="shared" si="1"/>
        <v>-2</v>
      </c>
      <c r="T19" s="127">
        <f t="shared" si="1"/>
        <v>-2</v>
      </c>
      <c r="U19" s="127">
        <f t="shared" si="1"/>
        <v>-1</v>
      </c>
      <c r="V19" s="127">
        <f t="shared" si="1"/>
        <v>0</v>
      </c>
      <c r="W19" s="127">
        <f t="shared" si="1"/>
        <v>-2</v>
      </c>
    </row>
    <row r="20" spans="1:23" ht="12.75">
      <c r="A20" s="130" t="s">
        <v>11</v>
      </c>
      <c r="B20" s="131">
        <v>6.9</v>
      </c>
      <c r="C20" s="125">
        <v>6.7</v>
      </c>
      <c r="D20" s="125">
        <v>5.6</v>
      </c>
      <c r="E20" s="125">
        <v>8</v>
      </c>
      <c r="F20" s="125">
        <v>6.7</v>
      </c>
      <c r="G20" s="129">
        <v>7.8</v>
      </c>
      <c r="H20" s="125"/>
      <c r="I20" s="130" t="s">
        <v>11</v>
      </c>
      <c r="J20" s="223">
        <v>7.3</v>
      </c>
      <c r="K20" s="125">
        <v>7.2</v>
      </c>
      <c r="L20" s="125">
        <v>6</v>
      </c>
      <c r="M20" s="125">
        <v>8.3</v>
      </c>
      <c r="N20" s="125">
        <v>6.9</v>
      </c>
      <c r="O20" s="129">
        <v>8.1</v>
      </c>
      <c r="P20" s="158"/>
      <c r="Q20" s="128" t="str">
        <f t="shared" si="0"/>
        <v>C/dB</v>
      </c>
      <c r="R20" s="127">
        <f t="shared" si="1"/>
        <v>-0.39999999999999947</v>
      </c>
      <c r="S20" s="127">
        <f t="shared" si="1"/>
        <v>-0.5</v>
      </c>
      <c r="T20" s="127">
        <f t="shared" si="1"/>
        <v>-0.40000000000000036</v>
      </c>
      <c r="U20" s="127">
        <f t="shared" si="1"/>
        <v>-0.3000000000000007</v>
      </c>
      <c r="V20" s="127">
        <f t="shared" si="1"/>
        <v>-0.20000000000000018</v>
      </c>
      <c r="W20" s="127">
        <f t="shared" si="1"/>
        <v>-0.2999999999999998</v>
      </c>
    </row>
    <row r="21" spans="1:23" ht="12.75">
      <c r="A21" s="130" t="s">
        <v>12</v>
      </c>
      <c r="B21" s="131">
        <v>42</v>
      </c>
      <c r="C21" s="125">
        <v>39</v>
      </c>
      <c r="D21" s="125">
        <v>49</v>
      </c>
      <c r="E21" s="125">
        <v>35</v>
      </c>
      <c r="F21" s="125">
        <v>43</v>
      </c>
      <c r="G21" s="129">
        <v>35</v>
      </c>
      <c r="H21" s="125"/>
      <c r="I21" s="130" t="s">
        <v>12</v>
      </c>
      <c r="J21" s="223">
        <v>39</v>
      </c>
      <c r="K21" s="125">
        <v>37</v>
      </c>
      <c r="L21" s="125">
        <v>47</v>
      </c>
      <c r="M21" s="125">
        <v>33</v>
      </c>
      <c r="N21" s="125">
        <v>42</v>
      </c>
      <c r="O21" s="129">
        <v>34</v>
      </c>
      <c r="P21" s="158"/>
      <c r="Q21" s="128" t="str">
        <f t="shared" si="0"/>
        <v>TS/ms</v>
      </c>
      <c r="R21" s="127">
        <f t="shared" si="1"/>
        <v>3</v>
      </c>
      <c r="S21" s="127">
        <f t="shared" si="1"/>
        <v>2</v>
      </c>
      <c r="T21" s="127">
        <f t="shared" si="1"/>
        <v>2</v>
      </c>
      <c r="U21" s="127">
        <f t="shared" si="1"/>
        <v>2</v>
      </c>
      <c r="V21" s="127">
        <f t="shared" si="1"/>
        <v>1</v>
      </c>
      <c r="W21" s="127">
        <f t="shared" si="1"/>
        <v>1</v>
      </c>
    </row>
    <row r="22" spans="1:23" ht="12.75">
      <c r="A22" s="130" t="s">
        <v>13</v>
      </c>
      <c r="B22" s="131">
        <v>15.5</v>
      </c>
      <c r="C22" s="125">
        <v>16.2</v>
      </c>
      <c r="D22" s="125">
        <v>15</v>
      </c>
      <c r="E22" s="125">
        <v>16.7</v>
      </c>
      <c r="F22" s="125">
        <v>15.4</v>
      </c>
      <c r="G22" s="129">
        <v>17.1</v>
      </c>
      <c r="H22" s="125"/>
      <c r="I22" s="130" t="s">
        <v>13</v>
      </c>
      <c r="J22" s="223">
        <v>15.5</v>
      </c>
      <c r="K22" s="125">
        <v>16.3</v>
      </c>
      <c r="L22" s="125">
        <v>15.3</v>
      </c>
      <c r="M22" s="125">
        <v>16.8</v>
      </c>
      <c r="N22" s="125">
        <v>15.7</v>
      </c>
      <c r="O22" s="129">
        <v>17.3</v>
      </c>
      <c r="P22" s="158"/>
      <c r="Q22" s="128" t="str">
        <f t="shared" si="0"/>
        <v>G/dB</v>
      </c>
      <c r="R22" s="127">
        <f t="shared" si="1"/>
        <v>0</v>
      </c>
      <c r="S22" s="127">
        <f t="shared" si="1"/>
        <v>-0.10000000000000142</v>
      </c>
      <c r="T22" s="127">
        <f t="shared" si="1"/>
        <v>-0.3000000000000007</v>
      </c>
      <c r="U22" s="127">
        <f t="shared" si="1"/>
        <v>-0.10000000000000142</v>
      </c>
      <c r="V22" s="127">
        <f t="shared" si="1"/>
        <v>-0.29999999999999893</v>
      </c>
      <c r="W22" s="127">
        <f t="shared" si="1"/>
        <v>-0.1999999999999993</v>
      </c>
    </row>
    <row r="23" spans="1:23" ht="12.75">
      <c r="A23" s="130" t="s">
        <v>14</v>
      </c>
      <c r="B23" s="131">
        <v>25.3</v>
      </c>
      <c r="C23" s="125">
        <v>10.3</v>
      </c>
      <c r="D23" s="125">
        <v>18.1</v>
      </c>
      <c r="E23" s="125">
        <v>12.3</v>
      </c>
      <c r="F23" s="125">
        <v>24</v>
      </c>
      <c r="G23" s="129">
        <v>20.9</v>
      </c>
      <c r="H23" s="125"/>
      <c r="I23" s="130" t="s">
        <v>14</v>
      </c>
      <c r="J23" s="223">
        <v>24.4</v>
      </c>
      <c r="K23" s="125">
        <v>10.9</v>
      </c>
      <c r="L23" s="125">
        <v>18.9</v>
      </c>
      <c r="M23" s="125">
        <v>14.8</v>
      </c>
      <c r="N23" s="125">
        <v>25.1</v>
      </c>
      <c r="O23" s="129">
        <v>22</v>
      </c>
      <c r="Q23" s="128" t="str">
        <f t="shared" si="0"/>
        <v>LF/%</v>
      </c>
      <c r="R23" s="127">
        <f t="shared" si="1"/>
        <v>0.9000000000000021</v>
      </c>
      <c r="S23" s="127">
        <f t="shared" si="1"/>
        <v>-0.5999999999999996</v>
      </c>
      <c r="T23" s="127">
        <f t="shared" si="1"/>
        <v>-0.7999999999999972</v>
      </c>
      <c r="U23" s="127">
        <f t="shared" si="1"/>
        <v>-2.5</v>
      </c>
      <c r="V23" s="127">
        <f t="shared" si="1"/>
        <v>-1.1000000000000014</v>
      </c>
      <c r="W23" s="127">
        <f t="shared" si="1"/>
        <v>-1.1000000000000014</v>
      </c>
    </row>
    <row r="24" spans="1:23" ht="12.75">
      <c r="A24" s="130" t="s">
        <v>15</v>
      </c>
      <c r="B24" s="224"/>
      <c r="C24" s="225"/>
      <c r="D24" s="225"/>
      <c r="E24" s="225"/>
      <c r="F24" s="225"/>
      <c r="G24" s="226"/>
      <c r="H24" s="125"/>
      <c r="I24" s="130" t="s">
        <v>15</v>
      </c>
      <c r="J24" s="224"/>
      <c r="K24" s="225"/>
      <c r="L24" s="225"/>
      <c r="M24" s="225"/>
      <c r="N24" s="225"/>
      <c r="O24" s="226"/>
      <c r="Q24" s="128" t="str">
        <f t="shared" si="0"/>
        <v>LFC/%</v>
      </c>
      <c r="R24" s="127">
        <f t="shared" si="1"/>
        <v>0</v>
      </c>
      <c r="S24" s="127">
        <f t="shared" si="1"/>
        <v>0</v>
      </c>
      <c r="T24" s="127">
        <f t="shared" si="1"/>
        <v>0</v>
      </c>
      <c r="U24" s="127">
        <f t="shared" si="1"/>
        <v>0</v>
      </c>
      <c r="V24" s="127">
        <f t="shared" si="1"/>
        <v>0</v>
      </c>
      <c r="W24" s="127">
        <f t="shared" si="1"/>
        <v>0</v>
      </c>
    </row>
    <row r="25" spans="1:23" ht="12.75">
      <c r="A25" s="134" t="s">
        <v>16</v>
      </c>
      <c r="B25" s="227"/>
      <c r="C25" s="228"/>
      <c r="D25" s="228"/>
      <c r="E25" s="228"/>
      <c r="F25" s="228"/>
      <c r="G25" s="229"/>
      <c r="H25" s="125"/>
      <c r="I25" s="134" t="s">
        <v>16</v>
      </c>
      <c r="J25" s="227"/>
      <c r="K25" s="228"/>
      <c r="L25" s="228"/>
      <c r="M25" s="228"/>
      <c r="N25" s="228"/>
      <c r="O25" s="229"/>
      <c r="Q25" s="128" t="str">
        <f t="shared" si="0"/>
        <v>IACC</v>
      </c>
      <c r="R25" s="127">
        <f t="shared" si="1"/>
        <v>0</v>
      </c>
      <c r="S25" s="127">
        <f t="shared" si="1"/>
        <v>0</v>
      </c>
      <c r="T25" s="127">
        <f t="shared" si="1"/>
        <v>0</v>
      </c>
      <c r="U25" s="127">
        <f t="shared" si="1"/>
        <v>0</v>
      </c>
      <c r="V25" s="127">
        <f t="shared" si="1"/>
        <v>0</v>
      </c>
      <c r="W25" s="127">
        <f t="shared" si="1"/>
        <v>0</v>
      </c>
    </row>
    <row r="26" spans="5:15" ht="12.75">
      <c r="E26" s="136"/>
      <c r="F26" s="136"/>
      <c r="G26" s="136"/>
      <c r="H26" s="136"/>
      <c r="M26" s="136"/>
      <c r="N26" s="136"/>
      <c r="O26" s="136"/>
    </row>
    <row r="27" spans="1:18" ht="12.75">
      <c r="A27" s="155" t="s">
        <v>17</v>
      </c>
      <c r="B27" s="156" t="s">
        <v>1</v>
      </c>
      <c r="E27" s="136"/>
      <c r="F27" s="136"/>
      <c r="G27" s="136"/>
      <c r="H27" s="136"/>
      <c r="I27" s="155" t="s">
        <v>17</v>
      </c>
      <c r="J27" s="156" t="s">
        <v>1</v>
      </c>
      <c r="M27" s="136"/>
      <c r="N27" s="136"/>
      <c r="O27" s="136"/>
      <c r="Q27" s="128" t="str">
        <f>+A27</f>
        <v>250 Hz</v>
      </c>
      <c r="R27" s="128" t="str">
        <f>+B27</f>
        <v>octave</v>
      </c>
    </row>
    <row r="28" spans="1:23" ht="12.75">
      <c r="A28" s="142"/>
      <c r="B28" s="140" t="s">
        <v>2</v>
      </c>
      <c r="C28" s="140" t="s">
        <v>3</v>
      </c>
      <c r="D28" s="139" t="s">
        <v>4</v>
      </c>
      <c r="E28" s="139" t="s">
        <v>5</v>
      </c>
      <c r="F28" s="140" t="s">
        <v>6</v>
      </c>
      <c r="G28" s="139" t="s">
        <v>7</v>
      </c>
      <c r="H28" s="141"/>
      <c r="I28" s="142"/>
      <c r="J28" s="140" t="s">
        <v>2</v>
      </c>
      <c r="K28" s="140" t="s">
        <v>3</v>
      </c>
      <c r="L28" s="139" t="s">
        <v>4</v>
      </c>
      <c r="M28" s="139" t="s">
        <v>5</v>
      </c>
      <c r="N28" s="140" t="s">
        <v>6</v>
      </c>
      <c r="O28" s="139" t="s">
        <v>7</v>
      </c>
      <c r="Q28" s="128">
        <f>+A28</f>
        <v>0</v>
      </c>
      <c r="R28" s="128" t="str">
        <f>+B28</f>
        <v>S1R1</v>
      </c>
      <c r="S28" s="128" t="str">
        <f>+C28</f>
        <v>S1R2</v>
      </c>
      <c r="T28" s="128" t="str">
        <f>+D28</f>
        <v>S1R3</v>
      </c>
      <c r="U28" s="128" t="str">
        <f>+E28</f>
        <v>S2R1</v>
      </c>
      <c r="V28" s="128" t="str">
        <f>+F28</f>
        <v>S2R2</v>
      </c>
      <c r="W28" s="128" t="str">
        <f>+G28</f>
        <v>S2R3</v>
      </c>
    </row>
    <row r="29" spans="1:23" ht="12.75">
      <c r="A29" s="130" t="s">
        <v>8</v>
      </c>
      <c r="B29" s="145">
        <v>1.06</v>
      </c>
      <c r="C29" s="143">
        <v>0.86</v>
      </c>
      <c r="D29" s="143">
        <v>0.89</v>
      </c>
      <c r="E29" s="125">
        <v>0.94</v>
      </c>
      <c r="F29" s="143">
        <v>1.01</v>
      </c>
      <c r="G29" s="144">
        <v>0.96</v>
      </c>
      <c r="H29" s="125"/>
      <c r="I29" s="130" t="s">
        <v>8</v>
      </c>
      <c r="J29" s="145">
        <v>0.73</v>
      </c>
      <c r="K29" s="143">
        <v>0.82</v>
      </c>
      <c r="L29" s="143">
        <v>0.87</v>
      </c>
      <c r="M29" s="125">
        <v>0.74</v>
      </c>
      <c r="N29" s="143">
        <v>0.88</v>
      </c>
      <c r="O29" s="144">
        <v>0.81</v>
      </c>
      <c r="Q29" s="128" t="str">
        <f aca="true" t="shared" si="2" ref="Q29:Q37">+A29</f>
        <v>T30/s</v>
      </c>
      <c r="R29" s="127">
        <f aca="true" t="shared" si="3" ref="R29:W37">+B29-J29</f>
        <v>0.33000000000000007</v>
      </c>
      <c r="S29" s="127">
        <f t="shared" si="3"/>
        <v>0.040000000000000036</v>
      </c>
      <c r="T29" s="127">
        <f t="shared" si="3"/>
        <v>0.020000000000000018</v>
      </c>
      <c r="U29" s="127">
        <f t="shared" si="3"/>
        <v>0.19999999999999996</v>
      </c>
      <c r="V29" s="127">
        <f t="shared" si="3"/>
        <v>0.13</v>
      </c>
      <c r="W29" s="127">
        <f t="shared" si="3"/>
        <v>0.1499999999999999</v>
      </c>
    </row>
    <row r="30" spans="1:23" ht="12.75">
      <c r="A30" s="130" t="s">
        <v>9</v>
      </c>
      <c r="B30" s="131">
        <v>0.98</v>
      </c>
      <c r="C30" s="125">
        <v>0.99</v>
      </c>
      <c r="D30" s="125">
        <v>1.1</v>
      </c>
      <c r="E30" s="125">
        <v>0.9</v>
      </c>
      <c r="F30" s="125">
        <v>1</v>
      </c>
      <c r="G30" s="129">
        <v>0.92</v>
      </c>
      <c r="H30" s="125"/>
      <c r="I30" s="130" t="s">
        <v>9</v>
      </c>
      <c r="J30" s="131">
        <v>0.83</v>
      </c>
      <c r="K30" s="125">
        <v>0.84</v>
      </c>
      <c r="L30" s="125">
        <v>0.93</v>
      </c>
      <c r="M30" s="125">
        <v>0.75</v>
      </c>
      <c r="N30" s="125">
        <v>0.86</v>
      </c>
      <c r="O30" s="129">
        <v>0.78</v>
      </c>
      <c r="Q30" s="128" t="str">
        <f t="shared" si="2"/>
        <v>EDT/s</v>
      </c>
      <c r="R30" s="127">
        <f t="shared" si="3"/>
        <v>0.15000000000000002</v>
      </c>
      <c r="S30" s="127">
        <f t="shared" si="3"/>
        <v>0.15000000000000002</v>
      </c>
      <c r="T30" s="127">
        <f t="shared" si="3"/>
        <v>0.17000000000000004</v>
      </c>
      <c r="U30" s="127">
        <f t="shared" si="3"/>
        <v>0.15000000000000002</v>
      </c>
      <c r="V30" s="127">
        <f t="shared" si="3"/>
        <v>0.14</v>
      </c>
      <c r="W30" s="127">
        <f t="shared" si="3"/>
        <v>0.14</v>
      </c>
    </row>
    <row r="31" spans="1:23" ht="12.75">
      <c r="A31" s="130" t="s">
        <v>10</v>
      </c>
      <c r="B31" s="131">
        <v>51</v>
      </c>
      <c r="C31" s="125">
        <v>51</v>
      </c>
      <c r="D31" s="125">
        <v>44</v>
      </c>
      <c r="E31" s="125">
        <v>55</v>
      </c>
      <c r="F31" s="125">
        <v>49</v>
      </c>
      <c r="G31" s="129">
        <v>55</v>
      </c>
      <c r="H31" s="125"/>
      <c r="I31" s="130" t="s">
        <v>10</v>
      </c>
      <c r="J31" s="131">
        <v>58</v>
      </c>
      <c r="K31" s="125">
        <v>58</v>
      </c>
      <c r="L31" s="125">
        <v>50</v>
      </c>
      <c r="M31" s="125">
        <v>62</v>
      </c>
      <c r="N31" s="125">
        <v>54</v>
      </c>
      <c r="O31" s="129">
        <v>61</v>
      </c>
      <c r="Q31" s="128" t="str">
        <f t="shared" si="2"/>
        <v>D/%</v>
      </c>
      <c r="R31" s="127">
        <f t="shared" si="3"/>
        <v>-7</v>
      </c>
      <c r="S31" s="127">
        <f t="shared" si="3"/>
        <v>-7</v>
      </c>
      <c r="T31" s="127">
        <f t="shared" si="3"/>
        <v>-6</v>
      </c>
      <c r="U31" s="127">
        <f t="shared" si="3"/>
        <v>-7</v>
      </c>
      <c r="V31" s="127">
        <f t="shared" si="3"/>
        <v>-5</v>
      </c>
      <c r="W31" s="127">
        <f t="shared" si="3"/>
        <v>-6</v>
      </c>
    </row>
    <row r="32" spans="1:23" ht="12.75">
      <c r="A32" s="130" t="s">
        <v>11</v>
      </c>
      <c r="B32" s="131">
        <v>3.3</v>
      </c>
      <c r="C32" s="125">
        <v>3.2</v>
      </c>
      <c r="D32" s="125">
        <v>2.3</v>
      </c>
      <c r="E32" s="125">
        <v>4.1</v>
      </c>
      <c r="F32" s="125">
        <v>3.1</v>
      </c>
      <c r="G32" s="129">
        <v>4</v>
      </c>
      <c r="H32" s="125"/>
      <c r="I32" s="130" t="s">
        <v>11</v>
      </c>
      <c r="J32" s="131">
        <v>4.7</v>
      </c>
      <c r="K32" s="125">
        <v>4.5</v>
      </c>
      <c r="L32" s="125">
        <v>3.4</v>
      </c>
      <c r="M32" s="125">
        <v>5.4</v>
      </c>
      <c r="N32" s="125">
        <v>4.1</v>
      </c>
      <c r="O32" s="129">
        <v>5.2</v>
      </c>
      <c r="Q32" s="128" t="str">
        <f t="shared" si="2"/>
        <v>C/dB</v>
      </c>
      <c r="R32" s="127">
        <f t="shared" si="3"/>
        <v>-1.4000000000000004</v>
      </c>
      <c r="S32" s="127">
        <f t="shared" si="3"/>
        <v>-1.2999999999999998</v>
      </c>
      <c r="T32" s="127">
        <f t="shared" si="3"/>
        <v>-1.1</v>
      </c>
      <c r="U32" s="127">
        <f t="shared" si="3"/>
        <v>-1.3000000000000007</v>
      </c>
      <c r="V32" s="127">
        <f t="shared" si="3"/>
        <v>-0.9999999999999996</v>
      </c>
      <c r="W32" s="127">
        <f t="shared" si="3"/>
        <v>-1.2000000000000002</v>
      </c>
    </row>
    <row r="33" spans="1:23" ht="12.75">
      <c r="A33" s="130" t="s">
        <v>12</v>
      </c>
      <c r="B33" s="131">
        <v>67</v>
      </c>
      <c r="C33" s="125">
        <v>66</v>
      </c>
      <c r="D33" s="125">
        <v>77</v>
      </c>
      <c r="E33" s="125">
        <v>60</v>
      </c>
      <c r="F33" s="125">
        <v>70</v>
      </c>
      <c r="G33" s="129">
        <v>61</v>
      </c>
      <c r="H33" s="125"/>
      <c r="I33" s="130" t="s">
        <v>12</v>
      </c>
      <c r="J33" s="131">
        <v>56</v>
      </c>
      <c r="K33" s="125">
        <v>55</v>
      </c>
      <c r="L33" s="125">
        <v>66</v>
      </c>
      <c r="M33" s="125">
        <v>49</v>
      </c>
      <c r="N33" s="125">
        <v>60</v>
      </c>
      <c r="O33" s="129">
        <v>51</v>
      </c>
      <c r="Q33" s="128" t="str">
        <f t="shared" si="2"/>
        <v>TS/ms</v>
      </c>
      <c r="R33" s="127">
        <f t="shared" si="3"/>
        <v>11</v>
      </c>
      <c r="S33" s="127">
        <f t="shared" si="3"/>
        <v>11</v>
      </c>
      <c r="T33" s="127">
        <f t="shared" si="3"/>
        <v>11</v>
      </c>
      <c r="U33" s="127">
        <f t="shared" si="3"/>
        <v>11</v>
      </c>
      <c r="V33" s="127">
        <f t="shared" si="3"/>
        <v>10</v>
      </c>
      <c r="W33" s="127">
        <f t="shared" si="3"/>
        <v>10</v>
      </c>
    </row>
    <row r="34" spans="1:23" ht="12.75">
      <c r="A34" s="130" t="s">
        <v>13</v>
      </c>
      <c r="B34" s="131">
        <v>17.8</v>
      </c>
      <c r="C34" s="125">
        <v>18.3</v>
      </c>
      <c r="D34" s="125">
        <v>17.5</v>
      </c>
      <c r="E34" s="125">
        <v>18.7</v>
      </c>
      <c r="F34" s="125">
        <v>17.8</v>
      </c>
      <c r="G34" s="129">
        <v>19</v>
      </c>
      <c r="H34" s="125"/>
      <c r="I34" s="130" t="s">
        <v>13</v>
      </c>
      <c r="J34" s="131">
        <v>17.2</v>
      </c>
      <c r="K34" s="125">
        <v>17.9</v>
      </c>
      <c r="L34" s="125">
        <v>17</v>
      </c>
      <c r="M34" s="125">
        <v>18.4</v>
      </c>
      <c r="N34" s="125">
        <v>17.6</v>
      </c>
      <c r="O34" s="129">
        <v>17.3</v>
      </c>
      <c r="Q34" s="128" t="str">
        <f t="shared" si="2"/>
        <v>G/dB</v>
      </c>
      <c r="R34" s="127">
        <f t="shared" si="3"/>
        <v>0.6000000000000014</v>
      </c>
      <c r="S34" s="127">
        <f t="shared" si="3"/>
        <v>0.40000000000000213</v>
      </c>
      <c r="T34" s="127">
        <f t="shared" si="3"/>
        <v>0.5</v>
      </c>
      <c r="U34" s="127">
        <f t="shared" si="3"/>
        <v>0.3000000000000007</v>
      </c>
      <c r="V34" s="127">
        <f t="shared" si="3"/>
        <v>0.1999999999999993</v>
      </c>
      <c r="W34" s="127">
        <f t="shared" si="3"/>
        <v>1.6999999999999993</v>
      </c>
    </row>
    <row r="35" spans="1:23" ht="12.75">
      <c r="A35" s="130" t="s">
        <v>14</v>
      </c>
      <c r="B35" s="131">
        <v>28.4</v>
      </c>
      <c r="C35" s="125">
        <v>14.3</v>
      </c>
      <c r="D35" s="125">
        <v>21.3</v>
      </c>
      <c r="E35" s="125">
        <v>16.7</v>
      </c>
      <c r="F35" s="125">
        <v>27.9</v>
      </c>
      <c r="G35" s="129">
        <v>23.7</v>
      </c>
      <c r="H35" s="125"/>
      <c r="I35" s="130" t="s">
        <v>14</v>
      </c>
      <c r="J35" s="131">
        <v>25.3</v>
      </c>
      <c r="K35" s="125">
        <v>15.1</v>
      </c>
      <c r="L35" s="125">
        <v>22.4</v>
      </c>
      <c r="M35" s="125">
        <v>20</v>
      </c>
      <c r="N35" s="125">
        <v>26.4</v>
      </c>
      <c r="O35" s="129">
        <v>24.4</v>
      </c>
      <c r="Q35" s="128" t="str">
        <f t="shared" si="2"/>
        <v>LF/%</v>
      </c>
      <c r="R35" s="127">
        <f t="shared" si="3"/>
        <v>3.099999999999998</v>
      </c>
      <c r="S35" s="127">
        <f t="shared" si="3"/>
        <v>-0.7999999999999989</v>
      </c>
      <c r="T35" s="127">
        <f t="shared" si="3"/>
        <v>-1.0999999999999979</v>
      </c>
      <c r="U35" s="127">
        <f t="shared" si="3"/>
        <v>-3.3000000000000007</v>
      </c>
      <c r="V35" s="127">
        <f t="shared" si="3"/>
        <v>1.5</v>
      </c>
      <c r="W35" s="127">
        <f t="shared" si="3"/>
        <v>-0.6999999999999993</v>
      </c>
    </row>
    <row r="36" spans="1:23" ht="12.75">
      <c r="A36" s="130" t="s">
        <v>15</v>
      </c>
      <c r="B36" s="224"/>
      <c r="C36" s="225"/>
      <c r="D36" s="225"/>
      <c r="E36" s="225"/>
      <c r="F36" s="225"/>
      <c r="G36" s="226"/>
      <c r="H36" s="125"/>
      <c r="I36" s="130" t="s">
        <v>15</v>
      </c>
      <c r="J36" s="224"/>
      <c r="K36" s="225"/>
      <c r="L36" s="225"/>
      <c r="M36" s="225"/>
      <c r="N36" s="225"/>
      <c r="O36" s="226"/>
      <c r="Q36" s="128" t="str">
        <f t="shared" si="2"/>
        <v>LFC/%</v>
      </c>
      <c r="R36" s="127">
        <f t="shared" si="3"/>
        <v>0</v>
      </c>
      <c r="S36" s="127">
        <f t="shared" si="3"/>
        <v>0</v>
      </c>
      <c r="T36" s="127">
        <f t="shared" si="3"/>
        <v>0</v>
      </c>
      <c r="U36" s="127">
        <f t="shared" si="3"/>
        <v>0</v>
      </c>
      <c r="V36" s="127">
        <f t="shared" si="3"/>
        <v>0</v>
      </c>
      <c r="W36" s="127">
        <f t="shared" si="3"/>
        <v>0</v>
      </c>
    </row>
    <row r="37" spans="1:23" ht="12.75">
      <c r="A37" s="134" t="s">
        <v>16</v>
      </c>
      <c r="B37" s="227"/>
      <c r="C37" s="228"/>
      <c r="D37" s="228"/>
      <c r="E37" s="228"/>
      <c r="F37" s="228"/>
      <c r="G37" s="229"/>
      <c r="H37" s="125"/>
      <c r="I37" s="134" t="s">
        <v>16</v>
      </c>
      <c r="J37" s="227"/>
      <c r="K37" s="228"/>
      <c r="L37" s="228"/>
      <c r="M37" s="228"/>
      <c r="N37" s="228"/>
      <c r="O37" s="229"/>
      <c r="Q37" s="128" t="str">
        <f t="shared" si="2"/>
        <v>IACC</v>
      </c>
      <c r="R37" s="127">
        <f t="shared" si="3"/>
        <v>0</v>
      </c>
      <c r="S37" s="127">
        <f t="shared" si="3"/>
        <v>0</v>
      </c>
      <c r="T37" s="127">
        <f t="shared" si="3"/>
        <v>0</v>
      </c>
      <c r="U37" s="127">
        <f t="shared" si="3"/>
        <v>0</v>
      </c>
      <c r="V37" s="127">
        <f t="shared" si="3"/>
        <v>0</v>
      </c>
      <c r="W37" s="127">
        <f t="shared" si="3"/>
        <v>0</v>
      </c>
    </row>
    <row r="38" spans="5:15" ht="12.75">
      <c r="E38" s="136"/>
      <c r="F38" s="136"/>
      <c r="G38" s="136"/>
      <c r="H38" s="136"/>
      <c r="M38" s="136"/>
      <c r="N38" s="136"/>
      <c r="O38" s="136"/>
    </row>
    <row r="39" spans="1:18" ht="12.75">
      <c r="A39" s="155" t="s">
        <v>18</v>
      </c>
      <c r="B39" s="156" t="s">
        <v>1</v>
      </c>
      <c r="E39" s="136"/>
      <c r="F39" s="136"/>
      <c r="G39" s="136"/>
      <c r="H39" s="136"/>
      <c r="I39" s="155" t="s">
        <v>18</v>
      </c>
      <c r="J39" s="156" t="s">
        <v>1</v>
      </c>
      <c r="M39" s="136"/>
      <c r="N39" s="136"/>
      <c r="O39" s="136"/>
      <c r="Q39" s="128" t="str">
        <f>+A39</f>
        <v>500 Hz</v>
      </c>
      <c r="R39" s="128" t="str">
        <f>+B39</f>
        <v>octave</v>
      </c>
    </row>
    <row r="40" spans="1:23" ht="12.75">
      <c r="A40" s="142"/>
      <c r="B40" s="140" t="s">
        <v>2</v>
      </c>
      <c r="C40" s="140" t="s">
        <v>3</v>
      </c>
      <c r="D40" s="139" t="s">
        <v>4</v>
      </c>
      <c r="E40" s="139" t="s">
        <v>5</v>
      </c>
      <c r="F40" s="140" t="s">
        <v>6</v>
      </c>
      <c r="G40" s="139" t="s">
        <v>7</v>
      </c>
      <c r="H40" s="141"/>
      <c r="I40" s="142"/>
      <c r="J40" s="140" t="s">
        <v>2</v>
      </c>
      <c r="K40" s="140" t="s">
        <v>3</v>
      </c>
      <c r="L40" s="139" t="s">
        <v>4</v>
      </c>
      <c r="M40" s="139" t="s">
        <v>5</v>
      </c>
      <c r="N40" s="140" t="s">
        <v>6</v>
      </c>
      <c r="O40" s="139" t="s">
        <v>7</v>
      </c>
      <c r="Q40" s="128">
        <f>+A40</f>
        <v>0</v>
      </c>
      <c r="R40" s="128" t="str">
        <f>+B40</f>
        <v>S1R1</v>
      </c>
      <c r="S40" s="128" t="str">
        <f>+C40</f>
        <v>S1R2</v>
      </c>
      <c r="T40" s="128" t="str">
        <f>+D40</f>
        <v>S1R3</v>
      </c>
      <c r="U40" s="128" t="str">
        <f>+E40</f>
        <v>S2R1</v>
      </c>
      <c r="V40" s="128" t="str">
        <f>+F40</f>
        <v>S2R2</v>
      </c>
      <c r="W40" s="128" t="str">
        <f>+G40</f>
        <v>S2R3</v>
      </c>
    </row>
    <row r="41" spans="1:23" ht="12.75">
      <c r="A41" s="130" t="s">
        <v>8</v>
      </c>
      <c r="B41" s="145">
        <v>1.15</v>
      </c>
      <c r="C41" s="143">
        <v>1.07</v>
      </c>
      <c r="D41" s="143">
        <v>1.14</v>
      </c>
      <c r="E41" s="125">
        <v>1.24</v>
      </c>
      <c r="F41" s="143">
        <v>1.2</v>
      </c>
      <c r="G41" s="144">
        <v>1.17</v>
      </c>
      <c r="H41" s="125"/>
      <c r="I41" s="130" t="s">
        <v>8</v>
      </c>
      <c r="J41" s="145">
        <v>0.82</v>
      </c>
      <c r="K41" s="143">
        <v>0.96</v>
      </c>
      <c r="L41" s="143">
        <v>0.86</v>
      </c>
      <c r="M41" s="125">
        <v>0.89</v>
      </c>
      <c r="N41" s="143">
        <v>0.96</v>
      </c>
      <c r="O41" s="144">
        <v>0.87</v>
      </c>
      <c r="Q41" s="128" t="str">
        <f aca="true" t="shared" si="4" ref="Q41:Q49">+A41</f>
        <v>T30/s</v>
      </c>
      <c r="R41" s="127">
        <f aca="true" t="shared" si="5" ref="R41:W49">+B41-J41</f>
        <v>0.32999999999999996</v>
      </c>
      <c r="S41" s="127">
        <f t="shared" si="5"/>
        <v>0.1100000000000001</v>
      </c>
      <c r="T41" s="127">
        <f t="shared" si="5"/>
        <v>0.2799999999999999</v>
      </c>
      <c r="U41" s="127">
        <f t="shared" si="5"/>
        <v>0.35</v>
      </c>
      <c r="V41" s="127">
        <f t="shared" si="5"/>
        <v>0.24</v>
      </c>
      <c r="W41" s="127">
        <f t="shared" si="5"/>
        <v>0.29999999999999993</v>
      </c>
    </row>
    <row r="42" spans="1:23" ht="12.75">
      <c r="A42" s="130" t="s">
        <v>9</v>
      </c>
      <c r="B42" s="131">
        <v>1.14</v>
      </c>
      <c r="C42" s="125">
        <v>1.14</v>
      </c>
      <c r="D42" s="125">
        <v>1.25</v>
      </c>
      <c r="E42" s="125">
        <v>1.07</v>
      </c>
      <c r="F42" s="125">
        <v>1.14</v>
      </c>
      <c r="G42" s="129">
        <v>1.07</v>
      </c>
      <c r="H42" s="125"/>
      <c r="I42" s="130" t="s">
        <v>9</v>
      </c>
      <c r="J42" s="131">
        <v>0.93</v>
      </c>
      <c r="K42" s="125">
        <v>0.91</v>
      </c>
      <c r="L42" s="125">
        <v>1.01</v>
      </c>
      <c r="M42" s="125">
        <v>0.87</v>
      </c>
      <c r="N42" s="125">
        <v>0.97</v>
      </c>
      <c r="O42" s="129">
        <v>0.89</v>
      </c>
      <c r="Q42" s="128" t="str">
        <f t="shared" si="4"/>
        <v>EDT/s</v>
      </c>
      <c r="R42" s="127">
        <f t="shared" si="5"/>
        <v>0.20999999999999985</v>
      </c>
      <c r="S42" s="127">
        <f t="shared" si="5"/>
        <v>0.22999999999999987</v>
      </c>
      <c r="T42" s="127">
        <f t="shared" si="5"/>
        <v>0.24</v>
      </c>
      <c r="U42" s="127">
        <f t="shared" si="5"/>
        <v>0.20000000000000007</v>
      </c>
      <c r="V42" s="127">
        <f t="shared" si="5"/>
        <v>0.16999999999999993</v>
      </c>
      <c r="W42" s="127">
        <f t="shared" si="5"/>
        <v>0.18000000000000005</v>
      </c>
    </row>
    <row r="43" spans="1:23" ht="12.75">
      <c r="A43" s="130" t="s">
        <v>10</v>
      </c>
      <c r="B43" s="131">
        <v>44</v>
      </c>
      <c r="C43" s="125">
        <v>46</v>
      </c>
      <c r="D43" s="125">
        <v>39</v>
      </c>
      <c r="E43" s="125">
        <v>50</v>
      </c>
      <c r="F43" s="125">
        <v>44</v>
      </c>
      <c r="G43" s="129">
        <v>50</v>
      </c>
      <c r="H43" s="125"/>
      <c r="I43" s="130" t="s">
        <v>10</v>
      </c>
      <c r="J43" s="131">
        <v>52</v>
      </c>
      <c r="K43" s="125">
        <v>53</v>
      </c>
      <c r="L43" s="125">
        <v>46</v>
      </c>
      <c r="M43" s="125">
        <v>57</v>
      </c>
      <c r="N43" s="125">
        <v>50</v>
      </c>
      <c r="O43" s="129">
        <v>56</v>
      </c>
      <c r="Q43" s="128" t="str">
        <f t="shared" si="4"/>
        <v>D/%</v>
      </c>
      <c r="R43" s="127">
        <f t="shared" si="5"/>
        <v>-8</v>
      </c>
      <c r="S43" s="127">
        <f t="shared" si="5"/>
        <v>-7</v>
      </c>
      <c r="T43" s="127">
        <f t="shared" si="5"/>
        <v>-7</v>
      </c>
      <c r="U43" s="127">
        <f t="shared" si="5"/>
        <v>-7</v>
      </c>
      <c r="V43" s="127">
        <f t="shared" si="5"/>
        <v>-6</v>
      </c>
      <c r="W43" s="127">
        <f t="shared" si="5"/>
        <v>-6</v>
      </c>
    </row>
    <row r="44" spans="1:23" ht="12.75">
      <c r="A44" s="130" t="s">
        <v>11</v>
      </c>
      <c r="B44" s="131">
        <v>2.1</v>
      </c>
      <c r="C44" s="125">
        <v>2.3</v>
      </c>
      <c r="D44" s="125">
        <v>1.3</v>
      </c>
      <c r="E44" s="125">
        <v>3</v>
      </c>
      <c r="F44" s="125">
        <v>2.1</v>
      </c>
      <c r="G44" s="129">
        <v>2.9</v>
      </c>
      <c r="H44" s="125"/>
      <c r="I44" s="130" t="s">
        <v>11</v>
      </c>
      <c r="J44" s="131">
        <v>3.7</v>
      </c>
      <c r="K44" s="125">
        <v>3.8</v>
      </c>
      <c r="L44" s="125">
        <v>2.7</v>
      </c>
      <c r="M44" s="125">
        <v>4.4</v>
      </c>
      <c r="N44" s="125">
        <v>3.2</v>
      </c>
      <c r="O44" s="129">
        <v>4.2</v>
      </c>
      <c r="Q44" s="128" t="str">
        <f t="shared" si="4"/>
        <v>C/dB</v>
      </c>
      <c r="R44" s="127">
        <f t="shared" si="5"/>
        <v>-1.6</v>
      </c>
      <c r="S44" s="127">
        <f t="shared" si="5"/>
        <v>-1.5</v>
      </c>
      <c r="T44" s="127">
        <f t="shared" si="5"/>
        <v>-1.4000000000000001</v>
      </c>
      <c r="U44" s="127">
        <f t="shared" si="5"/>
        <v>-1.4000000000000004</v>
      </c>
      <c r="V44" s="127">
        <f t="shared" si="5"/>
        <v>-1.1</v>
      </c>
      <c r="W44" s="127">
        <f t="shared" si="5"/>
        <v>-1.3000000000000003</v>
      </c>
    </row>
    <row r="45" spans="1:23" ht="12.75">
      <c r="A45" s="130" t="s">
        <v>12</v>
      </c>
      <c r="B45" s="131">
        <v>81</v>
      </c>
      <c r="C45" s="125">
        <v>77</v>
      </c>
      <c r="D45" s="125">
        <v>88</v>
      </c>
      <c r="E45" s="125">
        <v>72</v>
      </c>
      <c r="F45" s="125">
        <v>81</v>
      </c>
      <c r="G45" s="129">
        <v>72</v>
      </c>
      <c r="H45" s="125"/>
      <c r="I45" s="130" t="s">
        <v>12</v>
      </c>
      <c r="J45" s="131">
        <v>64</v>
      </c>
      <c r="K45" s="125">
        <v>62</v>
      </c>
      <c r="L45" s="125">
        <v>72</v>
      </c>
      <c r="M45" s="125">
        <v>57</v>
      </c>
      <c r="N45" s="125">
        <v>68</v>
      </c>
      <c r="O45" s="129">
        <v>59</v>
      </c>
      <c r="Q45" s="128" t="str">
        <f t="shared" si="4"/>
        <v>TS/ms</v>
      </c>
      <c r="R45" s="127">
        <f t="shared" si="5"/>
        <v>17</v>
      </c>
      <c r="S45" s="127">
        <f t="shared" si="5"/>
        <v>15</v>
      </c>
      <c r="T45" s="127">
        <f t="shared" si="5"/>
        <v>16</v>
      </c>
      <c r="U45" s="127">
        <f t="shared" si="5"/>
        <v>15</v>
      </c>
      <c r="V45" s="127">
        <f t="shared" si="5"/>
        <v>13</v>
      </c>
      <c r="W45" s="127">
        <f t="shared" si="5"/>
        <v>13</v>
      </c>
    </row>
    <row r="46" spans="1:23" ht="12.75">
      <c r="A46" s="130" t="s">
        <v>13</v>
      </c>
      <c r="B46" s="131">
        <v>18.7</v>
      </c>
      <c r="C46" s="125">
        <v>19.4</v>
      </c>
      <c r="D46" s="125">
        <v>18.5</v>
      </c>
      <c r="E46" s="125">
        <v>19.3</v>
      </c>
      <c r="F46" s="125">
        <v>18.8</v>
      </c>
      <c r="G46" s="129">
        <v>19.6</v>
      </c>
      <c r="H46" s="125"/>
      <c r="I46" s="130" t="s">
        <v>13</v>
      </c>
      <c r="J46" s="131">
        <v>17.7</v>
      </c>
      <c r="K46" s="125">
        <v>18.7</v>
      </c>
      <c r="L46" s="125">
        <v>17.8</v>
      </c>
      <c r="M46" s="125">
        <v>18.7</v>
      </c>
      <c r="N46" s="125">
        <v>18.2</v>
      </c>
      <c r="O46" s="129">
        <v>19.1</v>
      </c>
      <c r="Q46" s="128" t="str">
        <f t="shared" si="4"/>
        <v>G/dB</v>
      </c>
      <c r="R46" s="127">
        <f t="shared" si="5"/>
        <v>1</v>
      </c>
      <c r="S46" s="127">
        <f t="shared" si="5"/>
        <v>0.6999999999999993</v>
      </c>
      <c r="T46" s="127">
        <f t="shared" si="5"/>
        <v>0.6999999999999993</v>
      </c>
      <c r="U46" s="127">
        <f t="shared" si="5"/>
        <v>0.6000000000000014</v>
      </c>
      <c r="V46" s="127">
        <f t="shared" si="5"/>
        <v>0.6000000000000014</v>
      </c>
      <c r="W46" s="127">
        <f t="shared" si="5"/>
        <v>0.5</v>
      </c>
    </row>
    <row r="47" spans="1:23" ht="12.75">
      <c r="A47" s="130" t="s">
        <v>14</v>
      </c>
      <c r="B47" s="131">
        <v>28.6</v>
      </c>
      <c r="C47" s="125">
        <v>17.6</v>
      </c>
      <c r="D47" s="125">
        <v>23.3</v>
      </c>
      <c r="E47" s="125">
        <v>19.1</v>
      </c>
      <c r="F47" s="125">
        <v>28.1</v>
      </c>
      <c r="G47" s="129">
        <v>25.7</v>
      </c>
      <c r="H47" s="125"/>
      <c r="I47" s="130" t="s">
        <v>14</v>
      </c>
      <c r="J47" s="131">
        <v>26</v>
      </c>
      <c r="K47" s="125">
        <v>18.7</v>
      </c>
      <c r="L47" s="125">
        <v>25</v>
      </c>
      <c r="M47" s="125">
        <v>20.7</v>
      </c>
      <c r="N47" s="125">
        <v>26.1</v>
      </c>
      <c r="O47" s="129">
        <v>25</v>
      </c>
      <c r="Q47" s="128" t="str">
        <f t="shared" si="4"/>
        <v>LF/%</v>
      </c>
      <c r="R47" s="127">
        <f t="shared" si="5"/>
        <v>2.6000000000000014</v>
      </c>
      <c r="S47" s="127">
        <f t="shared" si="5"/>
        <v>-1.0999999999999979</v>
      </c>
      <c r="T47" s="127">
        <f t="shared" si="5"/>
        <v>-1.6999999999999993</v>
      </c>
      <c r="U47" s="127">
        <f t="shared" si="5"/>
        <v>-1.5999999999999979</v>
      </c>
      <c r="V47" s="127">
        <f t="shared" si="5"/>
        <v>2</v>
      </c>
      <c r="W47" s="127">
        <f t="shared" si="5"/>
        <v>0.6999999999999993</v>
      </c>
    </row>
    <row r="48" spans="1:23" ht="12.75">
      <c r="A48" s="130" t="s">
        <v>15</v>
      </c>
      <c r="B48" s="224"/>
      <c r="C48" s="225"/>
      <c r="D48" s="225"/>
      <c r="E48" s="225"/>
      <c r="F48" s="225"/>
      <c r="G48" s="226"/>
      <c r="H48" s="125"/>
      <c r="I48" s="130" t="s">
        <v>15</v>
      </c>
      <c r="J48" s="224"/>
      <c r="K48" s="225"/>
      <c r="L48" s="225"/>
      <c r="M48" s="225"/>
      <c r="N48" s="225"/>
      <c r="O48" s="226"/>
      <c r="Q48" s="128" t="str">
        <f t="shared" si="4"/>
        <v>LFC/%</v>
      </c>
      <c r="R48" s="127">
        <f t="shared" si="5"/>
        <v>0</v>
      </c>
      <c r="S48" s="127">
        <f t="shared" si="5"/>
        <v>0</v>
      </c>
      <c r="T48" s="127">
        <f t="shared" si="5"/>
        <v>0</v>
      </c>
      <c r="U48" s="127">
        <f t="shared" si="5"/>
        <v>0</v>
      </c>
      <c r="V48" s="127">
        <f t="shared" si="5"/>
        <v>0</v>
      </c>
      <c r="W48" s="127">
        <f t="shared" si="5"/>
        <v>0</v>
      </c>
    </row>
    <row r="49" spans="1:23" ht="12.75">
      <c r="A49" s="134" t="s">
        <v>16</v>
      </c>
      <c r="B49" s="227"/>
      <c r="C49" s="228"/>
      <c r="D49" s="228"/>
      <c r="E49" s="228"/>
      <c r="F49" s="228"/>
      <c r="G49" s="229"/>
      <c r="H49" s="125"/>
      <c r="I49" s="134" t="s">
        <v>16</v>
      </c>
      <c r="J49" s="227"/>
      <c r="K49" s="228"/>
      <c r="L49" s="228"/>
      <c r="M49" s="228"/>
      <c r="N49" s="228"/>
      <c r="O49" s="229"/>
      <c r="Q49" s="128" t="str">
        <f t="shared" si="4"/>
        <v>IACC</v>
      </c>
      <c r="R49" s="127">
        <f t="shared" si="5"/>
        <v>0</v>
      </c>
      <c r="S49" s="127">
        <f t="shared" si="5"/>
        <v>0</v>
      </c>
      <c r="T49" s="127">
        <f t="shared" si="5"/>
        <v>0</v>
      </c>
      <c r="U49" s="127">
        <f t="shared" si="5"/>
        <v>0</v>
      </c>
      <c r="V49" s="127">
        <f t="shared" si="5"/>
        <v>0</v>
      </c>
      <c r="W49" s="127">
        <f t="shared" si="5"/>
        <v>0</v>
      </c>
    </row>
    <row r="50" spans="5:23" ht="12.75">
      <c r="E50" s="136"/>
      <c r="F50" s="136"/>
      <c r="G50" s="136"/>
      <c r="H50" s="136"/>
      <c r="M50" s="136"/>
      <c r="N50" s="136"/>
      <c r="O50" s="136"/>
      <c r="R50" s="127"/>
      <c r="S50" s="127"/>
      <c r="T50" s="127"/>
      <c r="U50" s="127"/>
      <c r="V50" s="127"/>
      <c r="W50" s="127"/>
    </row>
    <row r="51" spans="1:18" ht="12.75">
      <c r="A51" s="155" t="s">
        <v>19</v>
      </c>
      <c r="B51" s="156" t="s">
        <v>1</v>
      </c>
      <c r="E51" s="136"/>
      <c r="F51" s="136"/>
      <c r="G51" s="136"/>
      <c r="H51" s="136"/>
      <c r="I51" s="155" t="s">
        <v>19</v>
      </c>
      <c r="J51" s="156" t="s">
        <v>1</v>
      </c>
      <c r="M51" s="136"/>
      <c r="N51" s="136"/>
      <c r="O51" s="136"/>
      <c r="Q51" s="128" t="str">
        <f>+A51</f>
        <v>1000 Hz</v>
      </c>
      <c r="R51" s="128" t="str">
        <f>+B51</f>
        <v>octave</v>
      </c>
    </row>
    <row r="52" spans="1:23" ht="12.75">
      <c r="A52" s="142"/>
      <c r="B52" s="140" t="s">
        <v>2</v>
      </c>
      <c r="C52" s="140" t="s">
        <v>3</v>
      </c>
      <c r="D52" s="139" t="s">
        <v>4</v>
      </c>
      <c r="E52" s="139" t="s">
        <v>5</v>
      </c>
      <c r="F52" s="140" t="s">
        <v>6</v>
      </c>
      <c r="G52" s="139" t="s">
        <v>7</v>
      </c>
      <c r="H52" s="141"/>
      <c r="I52" s="142"/>
      <c r="J52" s="140" t="s">
        <v>2</v>
      </c>
      <c r="K52" s="140" t="s">
        <v>3</v>
      </c>
      <c r="L52" s="139" t="s">
        <v>4</v>
      </c>
      <c r="M52" s="139" t="s">
        <v>5</v>
      </c>
      <c r="N52" s="140" t="s">
        <v>6</v>
      </c>
      <c r="O52" s="139" t="s">
        <v>7</v>
      </c>
      <c r="Q52" s="128">
        <f>+A52</f>
        <v>0</v>
      </c>
      <c r="R52" s="128" t="str">
        <f>+B52</f>
        <v>S1R1</v>
      </c>
      <c r="S52" s="128" t="str">
        <f>+C52</f>
        <v>S1R2</v>
      </c>
      <c r="T52" s="128" t="str">
        <f>+D52</f>
        <v>S1R3</v>
      </c>
      <c r="U52" s="128" t="str">
        <f>+E52</f>
        <v>S2R1</v>
      </c>
      <c r="V52" s="128" t="str">
        <f>+F52</f>
        <v>S2R2</v>
      </c>
      <c r="W52" s="128" t="str">
        <f>+G52</f>
        <v>S2R3</v>
      </c>
    </row>
    <row r="53" spans="1:23" ht="12.75">
      <c r="A53" s="130" t="s">
        <v>8</v>
      </c>
      <c r="B53" s="145">
        <v>1</v>
      </c>
      <c r="C53" s="143">
        <v>0.95</v>
      </c>
      <c r="D53" s="143">
        <v>0.9</v>
      </c>
      <c r="E53" s="125">
        <v>1.03</v>
      </c>
      <c r="F53" s="143">
        <v>1.19</v>
      </c>
      <c r="G53" s="144">
        <v>1.19</v>
      </c>
      <c r="H53" s="125"/>
      <c r="I53" s="130" t="s">
        <v>8</v>
      </c>
      <c r="J53" s="145">
        <v>0.7</v>
      </c>
      <c r="K53" s="143">
        <v>0.76</v>
      </c>
      <c r="L53" s="143">
        <v>0.73</v>
      </c>
      <c r="M53" s="125">
        <v>0.77</v>
      </c>
      <c r="N53" s="143">
        <v>0.77</v>
      </c>
      <c r="O53" s="144">
        <v>0.77</v>
      </c>
      <c r="Q53" s="128" t="str">
        <f aca="true" t="shared" si="6" ref="Q53:Q61">+A53</f>
        <v>T30/s</v>
      </c>
      <c r="R53" s="127">
        <f aca="true" t="shared" si="7" ref="R53:W61">+B53-J53</f>
        <v>0.30000000000000004</v>
      </c>
      <c r="S53" s="127">
        <f t="shared" si="7"/>
        <v>0.18999999999999995</v>
      </c>
      <c r="T53" s="127">
        <f t="shared" si="7"/>
        <v>0.17000000000000004</v>
      </c>
      <c r="U53" s="127">
        <f t="shared" si="7"/>
        <v>0.26</v>
      </c>
      <c r="V53" s="127">
        <f t="shared" si="7"/>
        <v>0.41999999999999993</v>
      </c>
      <c r="W53" s="127">
        <f t="shared" si="7"/>
        <v>0.41999999999999993</v>
      </c>
    </row>
    <row r="54" spans="1:23" ht="12.75">
      <c r="A54" s="130" t="s">
        <v>9</v>
      </c>
      <c r="B54" s="131">
        <v>1.05</v>
      </c>
      <c r="C54" s="125">
        <v>1.03</v>
      </c>
      <c r="D54" s="125">
        <v>1.13</v>
      </c>
      <c r="E54" s="125">
        <v>0.96</v>
      </c>
      <c r="F54" s="125">
        <v>1.03</v>
      </c>
      <c r="G54" s="129">
        <v>0.97</v>
      </c>
      <c r="H54" s="125"/>
      <c r="I54" s="130" t="s">
        <v>9</v>
      </c>
      <c r="J54" s="131">
        <v>0.82</v>
      </c>
      <c r="K54" s="125">
        <v>0.78</v>
      </c>
      <c r="L54" s="125">
        <v>0.87</v>
      </c>
      <c r="M54" s="125">
        <v>0.74</v>
      </c>
      <c r="N54" s="125">
        <v>0.85</v>
      </c>
      <c r="O54" s="129">
        <v>0.76</v>
      </c>
      <c r="Q54" s="128" t="str">
        <f t="shared" si="6"/>
        <v>EDT/s</v>
      </c>
      <c r="R54" s="127">
        <f t="shared" si="7"/>
        <v>0.2300000000000001</v>
      </c>
      <c r="S54" s="127">
        <f t="shared" si="7"/>
        <v>0.25</v>
      </c>
      <c r="T54" s="127">
        <f t="shared" si="7"/>
        <v>0.2599999999999999</v>
      </c>
      <c r="U54" s="127">
        <f t="shared" si="7"/>
        <v>0.21999999999999997</v>
      </c>
      <c r="V54" s="127">
        <f t="shared" si="7"/>
        <v>0.18000000000000005</v>
      </c>
      <c r="W54" s="127">
        <f t="shared" si="7"/>
        <v>0.20999999999999996</v>
      </c>
    </row>
    <row r="55" spans="1:23" ht="12.75">
      <c r="A55" s="130" t="s">
        <v>10</v>
      </c>
      <c r="B55" s="131">
        <v>48</v>
      </c>
      <c r="C55" s="125">
        <v>51</v>
      </c>
      <c r="D55" s="125">
        <v>43</v>
      </c>
      <c r="E55" s="125">
        <v>55</v>
      </c>
      <c r="F55" s="125">
        <v>48</v>
      </c>
      <c r="G55" s="129">
        <v>55</v>
      </c>
      <c r="H55" s="125"/>
      <c r="I55" s="130" t="s">
        <v>10</v>
      </c>
      <c r="J55" s="131">
        <v>58</v>
      </c>
      <c r="K55" s="125">
        <v>60</v>
      </c>
      <c r="L55" s="125">
        <v>51</v>
      </c>
      <c r="M55" s="125">
        <v>63</v>
      </c>
      <c r="N55" s="125">
        <v>55</v>
      </c>
      <c r="O55" s="129">
        <v>62</v>
      </c>
      <c r="Q55" s="128" t="str">
        <f t="shared" si="6"/>
        <v>D/%</v>
      </c>
      <c r="R55" s="127">
        <f t="shared" si="7"/>
        <v>-10</v>
      </c>
      <c r="S55" s="127">
        <f t="shared" si="7"/>
        <v>-9</v>
      </c>
      <c r="T55" s="127">
        <f t="shared" si="7"/>
        <v>-8</v>
      </c>
      <c r="U55" s="127">
        <f t="shared" si="7"/>
        <v>-8</v>
      </c>
      <c r="V55" s="127">
        <f t="shared" si="7"/>
        <v>-7</v>
      </c>
      <c r="W55" s="127">
        <f t="shared" si="7"/>
        <v>-7</v>
      </c>
    </row>
    <row r="56" spans="1:23" ht="12.75">
      <c r="A56" s="130" t="s">
        <v>11</v>
      </c>
      <c r="B56" s="131">
        <v>2.7</v>
      </c>
      <c r="C56" s="125">
        <v>3.3</v>
      </c>
      <c r="D56" s="125">
        <v>2.1</v>
      </c>
      <c r="E56" s="125">
        <v>4</v>
      </c>
      <c r="F56" s="125">
        <v>2.9</v>
      </c>
      <c r="G56" s="129">
        <v>3.8</v>
      </c>
      <c r="H56" s="125"/>
      <c r="I56" s="130" t="s">
        <v>11</v>
      </c>
      <c r="J56" s="131">
        <v>4.7</v>
      </c>
      <c r="K56" s="125">
        <v>5.1</v>
      </c>
      <c r="L56" s="125">
        <v>4</v>
      </c>
      <c r="M56" s="125">
        <v>5.6</v>
      </c>
      <c r="N56" s="125">
        <v>4.3</v>
      </c>
      <c r="O56" s="129">
        <v>5.5</v>
      </c>
      <c r="Q56" s="128" t="str">
        <f t="shared" si="6"/>
        <v>C/dB</v>
      </c>
      <c r="R56" s="127">
        <f t="shared" si="7"/>
        <v>-2</v>
      </c>
      <c r="S56" s="127">
        <f t="shared" si="7"/>
        <v>-1.7999999999999998</v>
      </c>
      <c r="T56" s="127">
        <f t="shared" si="7"/>
        <v>-1.9</v>
      </c>
      <c r="U56" s="127">
        <f t="shared" si="7"/>
        <v>-1.5999999999999996</v>
      </c>
      <c r="V56" s="127">
        <f t="shared" si="7"/>
        <v>-1.4</v>
      </c>
      <c r="W56" s="127">
        <f t="shared" si="7"/>
        <v>-1.7000000000000002</v>
      </c>
    </row>
    <row r="57" spans="1:23" ht="13.5" customHeight="1">
      <c r="A57" s="130" t="s">
        <v>12</v>
      </c>
      <c r="B57" s="131">
        <v>73</v>
      </c>
      <c r="C57" s="125">
        <v>68</v>
      </c>
      <c r="D57" s="125">
        <v>80</v>
      </c>
      <c r="E57" s="125">
        <v>63</v>
      </c>
      <c r="F57" s="125">
        <v>73</v>
      </c>
      <c r="G57" s="129">
        <v>64</v>
      </c>
      <c r="H57" s="125"/>
      <c r="I57" s="130" t="s">
        <v>12</v>
      </c>
      <c r="J57" s="131">
        <v>55</v>
      </c>
      <c r="K57" s="125">
        <v>52</v>
      </c>
      <c r="L57" s="125">
        <v>61</v>
      </c>
      <c r="M57" s="125">
        <v>48</v>
      </c>
      <c r="N57" s="125">
        <v>59</v>
      </c>
      <c r="O57" s="129">
        <v>49</v>
      </c>
      <c r="Q57" s="128" t="str">
        <f t="shared" si="6"/>
        <v>TS/ms</v>
      </c>
      <c r="R57" s="127">
        <f t="shared" si="7"/>
        <v>18</v>
      </c>
      <c r="S57" s="127">
        <f t="shared" si="7"/>
        <v>16</v>
      </c>
      <c r="T57" s="127">
        <f t="shared" si="7"/>
        <v>19</v>
      </c>
      <c r="U57" s="127">
        <f t="shared" si="7"/>
        <v>15</v>
      </c>
      <c r="V57" s="127">
        <f t="shared" si="7"/>
        <v>14</v>
      </c>
      <c r="W57" s="127">
        <f t="shared" si="7"/>
        <v>15</v>
      </c>
    </row>
    <row r="58" spans="1:23" ht="12" customHeight="1">
      <c r="A58" s="130" t="s">
        <v>13</v>
      </c>
      <c r="B58" s="131">
        <v>18.2</v>
      </c>
      <c r="C58" s="125">
        <v>19.2</v>
      </c>
      <c r="D58" s="125">
        <v>18.1</v>
      </c>
      <c r="E58" s="125">
        <v>19</v>
      </c>
      <c r="F58" s="125">
        <v>18.3</v>
      </c>
      <c r="G58" s="129">
        <v>19.2</v>
      </c>
      <c r="H58" s="125"/>
      <c r="I58" s="130" t="s">
        <v>13</v>
      </c>
      <c r="J58" s="131">
        <v>17</v>
      </c>
      <c r="K58" s="125">
        <v>18.3</v>
      </c>
      <c r="L58" s="125">
        <v>17.1</v>
      </c>
      <c r="M58" s="125">
        <v>18.1</v>
      </c>
      <c r="N58" s="125">
        <v>17.6</v>
      </c>
      <c r="O58" s="129">
        <v>18.5</v>
      </c>
      <c r="Q58" s="128" t="str">
        <f t="shared" si="6"/>
        <v>G/dB</v>
      </c>
      <c r="R58" s="127">
        <f t="shared" si="7"/>
        <v>1.1999999999999993</v>
      </c>
      <c r="S58" s="127">
        <f t="shared" si="7"/>
        <v>0.8999999999999986</v>
      </c>
      <c r="T58" s="127">
        <f t="shared" si="7"/>
        <v>1</v>
      </c>
      <c r="U58" s="127">
        <f t="shared" si="7"/>
        <v>0.8999999999999986</v>
      </c>
      <c r="V58" s="127">
        <f t="shared" si="7"/>
        <v>0.6999999999999993</v>
      </c>
      <c r="W58" s="127">
        <f t="shared" si="7"/>
        <v>0.6999999999999993</v>
      </c>
    </row>
    <row r="59" spans="1:23" ht="12.75">
      <c r="A59" s="130" t="s">
        <v>14</v>
      </c>
      <c r="B59" s="131">
        <v>28.3</v>
      </c>
      <c r="C59" s="125">
        <v>18.5</v>
      </c>
      <c r="D59" s="125">
        <v>23.3</v>
      </c>
      <c r="E59" s="125">
        <v>21.1</v>
      </c>
      <c r="F59" s="125">
        <v>27.4</v>
      </c>
      <c r="G59" s="129">
        <v>25.6</v>
      </c>
      <c r="H59" s="125"/>
      <c r="I59" s="130" t="s">
        <v>14</v>
      </c>
      <c r="J59" s="131">
        <v>24.9</v>
      </c>
      <c r="K59" s="125">
        <v>18.7</v>
      </c>
      <c r="L59" s="125">
        <v>24.4</v>
      </c>
      <c r="M59" s="125">
        <v>19.6</v>
      </c>
      <c r="N59" s="125">
        <v>24.9</v>
      </c>
      <c r="O59" s="129">
        <v>24.3</v>
      </c>
      <c r="Q59" s="128" t="str">
        <f t="shared" si="6"/>
        <v>LF/%</v>
      </c>
      <c r="R59" s="127">
        <f t="shared" si="7"/>
        <v>3.400000000000002</v>
      </c>
      <c r="S59" s="127">
        <f t="shared" si="7"/>
        <v>-0.1999999999999993</v>
      </c>
      <c r="T59" s="127">
        <f t="shared" si="7"/>
        <v>-1.0999999999999979</v>
      </c>
      <c r="U59" s="127">
        <f t="shared" si="7"/>
        <v>1.5</v>
      </c>
      <c r="V59" s="127">
        <f t="shared" si="7"/>
        <v>2.5</v>
      </c>
      <c r="W59" s="127">
        <f t="shared" si="7"/>
        <v>1.3000000000000007</v>
      </c>
    </row>
    <row r="60" spans="1:23" ht="12.75">
      <c r="A60" s="130" t="s">
        <v>15</v>
      </c>
      <c r="B60" s="224"/>
      <c r="C60" s="225"/>
      <c r="D60" s="225"/>
      <c r="E60" s="225"/>
      <c r="F60" s="225"/>
      <c r="G60" s="226"/>
      <c r="H60" s="125"/>
      <c r="I60" s="130" t="s">
        <v>15</v>
      </c>
      <c r="J60" s="224"/>
      <c r="K60" s="225"/>
      <c r="L60" s="225"/>
      <c r="M60" s="225"/>
      <c r="N60" s="225"/>
      <c r="O60" s="226"/>
      <c r="Q60" s="128" t="str">
        <f t="shared" si="6"/>
        <v>LFC/%</v>
      </c>
      <c r="R60" s="127">
        <f t="shared" si="7"/>
        <v>0</v>
      </c>
      <c r="S60" s="127">
        <f t="shared" si="7"/>
        <v>0</v>
      </c>
      <c r="T60" s="127">
        <f t="shared" si="7"/>
        <v>0</v>
      </c>
      <c r="U60" s="127">
        <f t="shared" si="7"/>
        <v>0</v>
      </c>
      <c r="V60" s="127">
        <f t="shared" si="7"/>
        <v>0</v>
      </c>
      <c r="W60" s="127">
        <f t="shared" si="7"/>
        <v>0</v>
      </c>
    </row>
    <row r="61" spans="1:23" ht="12.75">
      <c r="A61" s="134" t="s">
        <v>16</v>
      </c>
      <c r="B61" s="227"/>
      <c r="C61" s="228"/>
      <c r="D61" s="228"/>
      <c r="E61" s="228"/>
      <c r="F61" s="228"/>
      <c r="G61" s="229"/>
      <c r="H61" s="125"/>
      <c r="I61" s="134" t="s">
        <v>16</v>
      </c>
      <c r="J61" s="227"/>
      <c r="K61" s="228"/>
      <c r="L61" s="228"/>
      <c r="M61" s="228"/>
      <c r="N61" s="228"/>
      <c r="O61" s="229"/>
      <c r="Q61" s="128" t="str">
        <f t="shared" si="6"/>
        <v>IACC</v>
      </c>
      <c r="R61" s="127">
        <f t="shared" si="7"/>
        <v>0</v>
      </c>
      <c r="S61" s="127">
        <f t="shared" si="7"/>
        <v>0</v>
      </c>
      <c r="T61" s="127">
        <f t="shared" si="7"/>
        <v>0</v>
      </c>
      <c r="U61" s="127">
        <f t="shared" si="7"/>
        <v>0</v>
      </c>
      <c r="V61" s="127">
        <f t="shared" si="7"/>
        <v>0</v>
      </c>
      <c r="W61" s="127">
        <f t="shared" si="7"/>
        <v>0</v>
      </c>
    </row>
    <row r="62" spans="5:15" ht="12.75">
      <c r="E62" s="136"/>
      <c r="F62" s="136"/>
      <c r="G62" s="136"/>
      <c r="H62" s="136"/>
      <c r="M62" s="136"/>
      <c r="N62" s="136"/>
      <c r="O62" s="136"/>
    </row>
    <row r="63" spans="1:18" ht="12.75">
      <c r="A63" s="155" t="s">
        <v>20</v>
      </c>
      <c r="B63" s="156" t="s">
        <v>1</v>
      </c>
      <c r="E63" s="136"/>
      <c r="F63" s="136"/>
      <c r="G63" s="136"/>
      <c r="H63" s="136"/>
      <c r="I63" s="155" t="s">
        <v>20</v>
      </c>
      <c r="J63" s="156" t="s">
        <v>1</v>
      </c>
      <c r="M63" s="136"/>
      <c r="N63" s="136"/>
      <c r="O63" s="136"/>
      <c r="Q63" s="128" t="str">
        <f>+A63</f>
        <v>2000 Hz</v>
      </c>
      <c r="R63" s="128" t="str">
        <f>+B63</f>
        <v>octave</v>
      </c>
    </row>
    <row r="64" spans="1:23" ht="12.75">
      <c r="A64" s="142"/>
      <c r="B64" s="140" t="s">
        <v>2</v>
      </c>
      <c r="C64" s="140" t="s">
        <v>3</v>
      </c>
      <c r="D64" s="139" t="s">
        <v>4</v>
      </c>
      <c r="E64" s="139" t="s">
        <v>5</v>
      </c>
      <c r="F64" s="140" t="s">
        <v>6</v>
      </c>
      <c r="G64" s="139" t="s">
        <v>7</v>
      </c>
      <c r="H64" s="141"/>
      <c r="I64" s="142"/>
      <c r="J64" s="140" t="s">
        <v>2</v>
      </c>
      <c r="K64" s="140" t="s">
        <v>3</v>
      </c>
      <c r="L64" s="139" t="s">
        <v>4</v>
      </c>
      <c r="M64" s="139" t="s">
        <v>5</v>
      </c>
      <c r="N64" s="140" t="s">
        <v>6</v>
      </c>
      <c r="O64" s="139" t="s">
        <v>7</v>
      </c>
      <c r="Q64" s="128">
        <f>+A64</f>
        <v>0</v>
      </c>
      <c r="R64" s="128" t="str">
        <f>+B64</f>
        <v>S1R1</v>
      </c>
      <c r="S64" s="128" t="str">
        <f>+C64</f>
        <v>S1R2</v>
      </c>
      <c r="T64" s="128" t="str">
        <f>+D64</f>
        <v>S1R3</v>
      </c>
      <c r="U64" s="128" t="str">
        <f>+E64</f>
        <v>S2R1</v>
      </c>
      <c r="V64" s="128" t="str">
        <f>+F64</f>
        <v>S2R2</v>
      </c>
      <c r="W64" s="128" t="str">
        <f>+G64</f>
        <v>S2R3</v>
      </c>
    </row>
    <row r="65" spans="1:23" ht="12.75">
      <c r="A65" s="130" t="s">
        <v>8</v>
      </c>
      <c r="B65" s="145">
        <v>1.09</v>
      </c>
      <c r="C65" s="143">
        <v>1.06</v>
      </c>
      <c r="D65" s="143">
        <v>1.18</v>
      </c>
      <c r="E65" s="125">
        <v>1.13</v>
      </c>
      <c r="F65" s="143">
        <v>1.17</v>
      </c>
      <c r="G65" s="144">
        <v>1.31</v>
      </c>
      <c r="H65" s="125"/>
      <c r="I65" s="130" t="s">
        <v>8</v>
      </c>
      <c r="J65" s="145">
        <v>0.75</v>
      </c>
      <c r="K65" s="143">
        <v>0.79</v>
      </c>
      <c r="L65" s="143">
        <v>0.76</v>
      </c>
      <c r="M65" s="125">
        <v>0.76</v>
      </c>
      <c r="N65" s="143">
        <v>0.66</v>
      </c>
      <c r="O65" s="144">
        <v>0.79</v>
      </c>
      <c r="Q65" s="128" t="str">
        <f aca="true" t="shared" si="8" ref="Q65:Q73">+A65</f>
        <v>T30/s</v>
      </c>
      <c r="R65" s="127">
        <f aca="true" t="shared" si="9" ref="R65:W73">+B65-J65</f>
        <v>0.3400000000000001</v>
      </c>
      <c r="S65" s="127">
        <f t="shared" si="9"/>
        <v>0.27</v>
      </c>
      <c r="T65" s="127">
        <f t="shared" si="9"/>
        <v>0.41999999999999993</v>
      </c>
      <c r="U65" s="127">
        <f t="shared" si="9"/>
        <v>0.3699999999999999</v>
      </c>
      <c r="V65" s="127">
        <f t="shared" si="9"/>
        <v>0.5099999999999999</v>
      </c>
      <c r="W65" s="127">
        <f t="shared" si="9"/>
        <v>0.52</v>
      </c>
    </row>
    <row r="66" spans="1:23" ht="12.75">
      <c r="A66" s="130" t="s">
        <v>9</v>
      </c>
      <c r="B66" s="131">
        <v>1.16</v>
      </c>
      <c r="C66" s="125">
        <v>1.11</v>
      </c>
      <c r="D66" s="125">
        <v>1.23</v>
      </c>
      <c r="E66" s="125">
        <v>1.07</v>
      </c>
      <c r="F66" s="125">
        <v>1.14</v>
      </c>
      <c r="G66" s="129">
        <v>1.07</v>
      </c>
      <c r="H66" s="125"/>
      <c r="I66" s="130" t="s">
        <v>9</v>
      </c>
      <c r="J66" s="131">
        <v>0.79</v>
      </c>
      <c r="K66" s="125">
        <v>0.73</v>
      </c>
      <c r="L66" s="125">
        <v>0.83</v>
      </c>
      <c r="M66" s="125">
        <v>0.71</v>
      </c>
      <c r="N66" s="125">
        <v>0.83</v>
      </c>
      <c r="O66" s="129">
        <v>0.74</v>
      </c>
      <c r="Q66" s="128" t="str">
        <f t="shared" si="8"/>
        <v>EDT/s</v>
      </c>
      <c r="R66" s="127">
        <f t="shared" si="9"/>
        <v>0.3699999999999999</v>
      </c>
      <c r="S66" s="127">
        <f t="shared" si="9"/>
        <v>0.3800000000000001</v>
      </c>
      <c r="T66" s="127">
        <f t="shared" si="9"/>
        <v>0.4</v>
      </c>
      <c r="U66" s="127">
        <f t="shared" si="9"/>
        <v>0.3600000000000001</v>
      </c>
      <c r="V66" s="127">
        <f t="shared" si="9"/>
        <v>0.30999999999999994</v>
      </c>
      <c r="W66" s="127">
        <f t="shared" si="9"/>
        <v>0.33000000000000007</v>
      </c>
    </row>
    <row r="67" spans="1:23" ht="12.75">
      <c r="A67" s="130" t="s">
        <v>10</v>
      </c>
      <c r="B67" s="131">
        <v>44</v>
      </c>
      <c r="C67" s="125">
        <v>50</v>
      </c>
      <c r="D67" s="125">
        <v>41</v>
      </c>
      <c r="E67" s="125">
        <v>52</v>
      </c>
      <c r="F67" s="125">
        <v>45</v>
      </c>
      <c r="G67" s="129">
        <v>51</v>
      </c>
      <c r="H67" s="125"/>
      <c r="I67" s="130" t="s">
        <v>10</v>
      </c>
      <c r="J67" s="131">
        <v>59</v>
      </c>
      <c r="K67" s="125">
        <v>64</v>
      </c>
      <c r="L67" s="125">
        <v>55</v>
      </c>
      <c r="M67" s="125">
        <v>64</v>
      </c>
      <c r="N67" s="125">
        <v>57</v>
      </c>
      <c r="O67" s="129">
        <v>64</v>
      </c>
      <c r="Q67" s="128" t="str">
        <f t="shared" si="8"/>
        <v>D/%</v>
      </c>
      <c r="R67" s="127">
        <f t="shared" si="9"/>
        <v>-15</v>
      </c>
      <c r="S67" s="127">
        <f t="shared" si="9"/>
        <v>-14</v>
      </c>
      <c r="T67" s="127">
        <f t="shared" si="9"/>
        <v>-14</v>
      </c>
      <c r="U67" s="127">
        <f t="shared" si="9"/>
        <v>-12</v>
      </c>
      <c r="V67" s="127">
        <f t="shared" si="9"/>
        <v>-12</v>
      </c>
      <c r="W67" s="127">
        <f t="shared" si="9"/>
        <v>-13</v>
      </c>
    </row>
    <row r="68" spans="1:23" ht="12.75">
      <c r="A68" s="130" t="s">
        <v>11</v>
      </c>
      <c r="B68" s="131">
        <v>2</v>
      </c>
      <c r="C68" s="125">
        <v>2.8</v>
      </c>
      <c r="D68" s="125">
        <v>1.6</v>
      </c>
      <c r="E68" s="125">
        <v>3.2</v>
      </c>
      <c r="F68" s="125">
        <v>2.2</v>
      </c>
      <c r="G68" s="129">
        <v>3</v>
      </c>
      <c r="H68" s="125"/>
      <c r="I68" s="130" t="s">
        <v>11</v>
      </c>
      <c r="J68" s="131">
        <v>5.1</v>
      </c>
      <c r="K68" s="125">
        <v>5.8</v>
      </c>
      <c r="L68" s="125">
        <v>4.5</v>
      </c>
      <c r="M68" s="125">
        <v>5.9</v>
      </c>
      <c r="N68" s="125">
        <v>4.6</v>
      </c>
      <c r="O68" s="129">
        <v>5.8</v>
      </c>
      <c r="Q68" s="128" t="str">
        <f t="shared" si="8"/>
        <v>C/dB</v>
      </c>
      <c r="R68" s="127">
        <f t="shared" si="9"/>
        <v>-3.0999999999999996</v>
      </c>
      <c r="S68" s="127">
        <f t="shared" si="9"/>
        <v>-3</v>
      </c>
      <c r="T68" s="127">
        <f t="shared" si="9"/>
        <v>-2.9</v>
      </c>
      <c r="U68" s="127">
        <f t="shared" si="9"/>
        <v>-2.7</v>
      </c>
      <c r="V68" s="127">
        <f t="shared" si="9"/>
        <v>-2.3999999999999995</v>
      </c>
      <c r="W68" s="127">
        <f t="shared" si="9"/>
        <v>-2.8</v>
      </c>
    </row>
    <row r="69" spans="1:23" ht="12.75">
      <c r="A69" s="130" t="s">
        <v>12</v>
      </c>
      <c r="B69" s="131">
        <v>82</v>
      </c>
      <c r="C69" s="125">
        <v>73</v>
      </c>
      <c r="D69" s="125">
        <v>86</v>
      </c>
      <c r="E69" s="125">
        <v>70</v>
      </c>
      <c r="F69" s="125">
        <v>81</v>
      </c>
      <c r="G69" s="129">
        <v>72</v>
      </c>
      <c r="H69" s="125"/>
      <c r="I69" s="130" t="s">
        <v>12</v>
      </c>
      <c r="J69" s="131">
        <v>53</v>
      </c>
      <c r="K69" s="125">
        <v>47</v>
      </c>
      <c r="L69" s="125">
        <v>58</v>
      </c>
      <c r="M69" s="125">
        <v>46</v>
      </c>
      <c r="N69" s="125">
        <v>57</v>
      </c>
      <c r="O69" s="129">
        <v>48</v>
      </c>
      <c r="Q69" s="128" t="str">
        <f t="shared" si="8"/>
        <v>TS/ms</v>
      </c>
      <c r="R69" s="127">
        <f t="shared" si="9"/>
        <v>29</v>
      </c>
      <c r="S69" s="127">
        <f t="shared" si="9"/>
        <v>26</v>
      </c>
      <c r="T69" s="127">
        <f t="shared" si="9"/>
        <v>28</v>
      </c>
      <c r="U69" s="127">
        <f t="shared" si="9"/>
        <v>24</v>
      </c>
      <c r="V69" s="127">
        <f t="shared" si="9"/>
        <v>24</v>
      </c>
      <c r="W69" s="127">
        <f t="shared" si="9"/>
        <v>24</v>
      </c>
    </row>
    <row r="70" spans="1:23" ht="12.75">
      <c r="A70" s="130" t="s">
        <v>13</v>
      </c>
      <c r="B70" s="131">
        <v>18.8</v>
      </c>
      <c r="C70" s="125">
        <v>19.9</v>
      </c>
      <c r="D70" s="125">
        <v>18.8</v>
      </c>
      <c r="E70" s="125">
        <v>19.6</v>
      </c>
      <c r="F70" s="125">
        <v>18.9</v>
      </c>
      <c r="G70" s="129">
        <v>19.7</v>
      </c>
      <c r="H70" s="125"/>
      <c r="I70" s="130" t="s">
        <v>13</v>
      </c>
      <c r="J70" s="131">
        <v>16.8</v>
      </c>
      <c r="K70" s="125">
        <v>18.5</v>
      </c>
      <c r="L70" s="125">
        <v>17.1</v>
      </c>
      <c r="M70" s="125">
        <v>18.1</v>
      </c>
      <c r="N70" s="125">
        <v>17.6</v>
      </c>
      <c r="O70" s="129">
        <v>18.6</v>
      </c>
      <c r="Q70" s="128" t="str">
        <f t="shared" si="8"/>
        <v>G/dB</v>
      </c>
      <c r="R70" s="127">
        <f t="shared" si="9"/>
        <v>2</v>
      </c>
      <c r="S70" s="127">
        <f t="shared" si="9"/>
        <v>1.3999999999999986</v>
      </c>
      <c r="T70" s="127">
        <f t="shared" si="9"/>
        <v>1.6999999999999993</v>
      </c>
      <c r="U70" s="127">
        <f t="shared" si="9"/>
        <v>1.5</v>
      </c>
      <c r="V70" s="127">
        <f t="shared" si="9"/>
        <v>1.2999999999999972</v>
      </c>
      <c r="W70" s="127">
        <f t="shared" si="9"/>
        <v>1.0999999999999979</v>
      </c>
    </row>
    <row r="71" spans="1:23" ht="12.75">
      <c r="A71" s="130" t="s">
        <v>14</v>
      </c>
      <c r="B71" s="131">
        <v>28.2</v>
      </c>
      <c r="C71" s="125">
        <v>21.7</v>
      </c>
      <c r="D71" s="125">
        <v>23.6</v>
      </c>
      <c r="E71" s="125">
        <v>21.3</v>
      </c>
      <c r="F71" s="125">
        <v>27.4</v>
      </c>
      <c r="G71" s="129">
        <v>25.5</v>
      </c>
      <c r="H71" s="125"/>
      <c r="I71" s="130" t="s">
        <v>14</v>
      </c>
      <c r="J71" s="131">
        <v>23.7</v>
      </c>
      <c r="K71" s="125">
        <v>21.6</v>
      </c>
      <c r="L71" s="125">
        <v>23.7</v>
      </c>
      <c r="M71" s="125">
        <v>18.5</v>
      </c>
      <c r="N71" s="125">
        <v>24.2</v>
      </c>
      <c r="O71" s="129">
        <v>23.4</v>
      </c>
      <c r="Q71" s="128" t="str">
        <f t="shared" si="8"/>
        <v>LF/%</v>
      </c>
      <c r="R71" s="127">
        <f t="shared" si="9"/>
        <v>4.5</v>
      </c>
      <c r="S71" s="127">
        <f t="shared" si="9"/>
        <v>0.09999999999999787</v>
      </c>
      <c r="T71" s="127">
        <f t="shared" si="9"/>
        <v>-0.09999999999999787</v>
      </c>
      <c r="U71" s="127">
        <f t="shared" si="9"/>
        <v>2.8000000000000007</v>
      </c>
      <c r="V71" s="127">
        <f t="shared" si="9"/>
        <v>3.1999999999999993</v>
      </c>
      <c r="W71" s="127">
        <f t="shared" si="9"/>
        <v>2.1000000000000014</v>
      </c>
    </row>
    <row r="72" spans="1:23" ht="12.75">
      <c r="A72" s="130" t="s">
        <v>15</v>
      </c>
      <c r="B72" s="224"/>
      <c r="C72" s="225"/>
      <c r="D72" s="225"/>
      <c r="E72" s="225"/>
      <c r="F72" s="225"/>
      <c r="G72" s="226"/>
      <c r="H72" s="125"/>
      <c r="I72" s="130" t="s">
        <v>15</v>
      </c>
      <c r="J72" s="224"/>
      <c r="K72" s="225"/>
      <c r="L72" s="225"/>
      <c r="M72" s="225"/>
      <c r="N72" s="225"/>
      <c r="O72" s="226"/>
      <c r="Q72" s="128" t="str">
        <f t="shared" si="8"/>
        <v>LFC/%</v>
      </c>
      <c r="R72" s="127">
        <f t="shared" si="9"/>
        <v>0</v>
      </c>
      <c r="S72" s="127">
        <f t="shared" si="9"/>
        <v>0</v>
      </c>
      <c r="T72" s="127">
        <f t="shared" si="9"/>
        <v>0</v>
      </c>
      <c r="U72" s="127">
        <f t="shared" si="9"/>
        <v>0</v>
      </c>
      <c r="V72" s="127">
        <f t="shared" si="9"/>
        <v>0</v>
      </c>
      <c r="W72" s="127">
        <f t="shared" si="9"/>
        <v>0</v>
      </c>
    </row>
    <row r="73" spans="1:23" ht="12.75">
      <c r="A73" s="134" t="s">
        <v>16</v>
      </c>
      <c r="B73" s="227"/>
      <c r="C73" s="228"/>
      <c r="D73" s="228"/>
      <c r="E73" s="228"/>
      <c r="F73" s="228"/>
      <c r="G73" s="229"/>
      <c r="H73" s="125"/>
      <c r="I73" s="134" t="s">
        <v>16</v>
      </c>
      <c r="J73" s="227"/>
      <c r="K73" s="228"/>
      <c r="L73" s="228"/>
      <c r="M73" s="228"/>
      <c r="N73" s="228"/>
      <c r="O73" s="229"/>
      <c r="Q73" s="128" t="str">
        <f t="shared" si="8"/>
        <v>IACC</v>
      </c>
      <c r="R73" s="127">
        <f t="shared" si="9"/>
        <v>0</v>
      </c>
      <c r="S73" s="127">
        <f t="shared" si="9"/>
        <v>0</v>
      </c>
      <c r="T73" s="127">
        <f t="shared" si="9"/>
        <v>0</v>
      </c>
      <c r="U73" s="127">
        <f t="shared" si="9"/>
        <v>0</v>
      </c>
      <c r="V73" s="127">
        <f t="shared" si="9"/>
        <v>0</v>
      </c>
      <c r="W73" s="127">
        <f t="shared" si="9"/>
        <v>0</v>
      </c>
    </row>
    <row r="74" spans="5:15" ht="12.75">
      <c r="E74" s="136"/>
      <c r="F74" s="136"/>
      <c r="G74" s="136"/>
      <c r="H74" s="136"/>
      <c r="M74" s="136"/>
      <c r="N74" s="136"/>
      <c r="O74" s="136"/>
    </row>
    <row r="75" spans="1:18" ht="12.75">
      <c r="A75" s="155" t="s">
        <v>21</v>
      </c>
      <c r="B75" s="156" t="s">
        <v>1</v>
      </c>
      <c r="E75" s="136"/>
      <c r="F75" s="136"/>
      <c r="G75" s="136"/>
      <c r="H75" s="136"/>
      <c r="I75" s="155" t="s">
        <v>21</v>
      </c>
      <c r="J75" s="156" t="s">
        <v>1</v>
      </c>
      <c r="M75" s="136"/>
      <c r="N75" s="136"/>
      <c r="O75" s="136"/>
      <c r="Q75" s="128" t="str">
        <f>+A75</f>
        <v>4000 Hz</v>
      </c>
      <c r="R75" s="128" t="str">
        <f>+B75</f>
        <v>octave</v>
      </c>
    </row>
    <row r="76" spans="1:23" ht="12.75">
      <c r="A76" s="142"/>
      <c r="B76" s="140" t="s">
        <v>2</v>
      </c>
      <c r="C76" s="140" t="s">
        <v>3</v>
      </c>
      <c r="D76" s="139" t="s">
        <v>4</v>
      </c>
      <c r="E76" s="139" t="s">
        <v>5</v>
      </c>
      <c r="F76" s="140" t="s">
        <v>6</v>
      </c>
      <c r="G76" s="139" t="s">
        <v>7</v>
      </c>
      <c r="H76" s="141"/>
      <c r="I76" s="142"/>
      <c r="J76" s="140" t="s">
        <v>2</v>
      </c>
      <c r="K76" s="140" t="s">
        <v>3</v>
      </c>
      <c r="L76" s="139" t="s">
        <v>4</v>
      </c>
      <c r="M76" s="139" t="s">
        <v>5</v>
      </c>
      <c r="N76" s="140" t="s">
        <v>6</v>
      </c>
      <c r="O76" s="139" t="s">
        <v>7</v>
      </c>
      <c r="Q76" s="128">
        <f>+A76</f>
        <v>0</v>
      </c>
      <c r="R76" s="128" t="str">
        <f>+B76</f>
        <v>S1R1</v>
      </c>
      <c r="S76" s="128" t="str">
        <f>+C76</f>
        <v>S1R2</v>
      </c>
      <c r="T76" s="128" t="str">
        <f>+D76</f>
        <v>S1R3</v>
      </c>
      <c r="U76" s="128" t="str">
        <f>+E76</f>
        <v>S2R1</v>
      </c>
      <c r="V76" s="128" t="str">
        <f>+F76</f>
        <v>S2R2</v>
      </c>
      <c r="W76" s="128" t="str">
        <f>+G76</f>
        <v>S2R3</v>
      </c>
    </row>
    <row r="77" spans="1:23" ht="12.75">
      <c r="A77" s="130" t="s">
        <v>8</v>
      </c>
      <c r="B77" s="145">
        <v>0.98</v>
      </c>
      <c r="C77" s="143">
        <v>0.91</v>
      </c>
      <c r="D77" s="143">
        <v>0.88</v>
      </c>
      <c r="E77" s="125">
        <v>1.05</v>
      </c>
      <c r="F77" s="143">
        <v>0.96</v>
      </c>
      <c r="G77" s="144">
        <v>1.01</v>
      </c>
      <c r="H77" s="125"/>
      <c r="I77" s="130" t="s">
        <v>8</v>
      </c>
      <c r="J77" s="145">
        <v>0.67</v>
      </c>
      <c r="K77" s="143">
        <v>0.73</v>
      </c>
      <c r="L77" s="143">
        <v>0.59</v>
      </c>
      <c r="M77" s="125">
        <v>0.73</v>
      </c>
      <c r="N77" s="143">
        <v>0.6</v>
      </c>
      <c r="O77" s="144">
        <v>0.69</v>
      </c>
      <c r="Q77" s="128" t="str">
        <f aca="true" t="shared" si="10" ref="Q77:Q85">+A77</f>
        <v>T30/s</v>
      </c>
      <c r="R77" s="127">
        <f aca="true" t="shared" si="11" ref="R77:W85">+B77-J77</f>
        <v>0.30999999999999994</v>
      </c>
      <c r="S77" s="127">
        <f t="shared" si="11"/>
        <v>0.18000000000000005</v>
      </c>
      <c r="T77" s="127">
        <f t="shared" si="11"/>
        <v>0.29000000000000004</v>
      </c>
      <c r="U77" s="127">
        <f t="shared" si="11"/>
        <v>0.32000000000000006</v>
      </c>
      <c r="V77" s="127">
        <f t="shared" si="11"/>
        <v>0.36</v>
      </c>
      <c r="W77" s="127">
        <f t="shared" si="11"/>
        <v>0.32000000000000006</v>
      </c>
    </row>
    <row r="78" spans="1:23" ht="12.75">
      <c r="A78" s="130" t="s">
        <v>9</v>
      </c>
      <c r="B78" s="131">
        <v>0.99</v>
      </c>
      <c r="C78" s="125">
        <v>0.93</v>
      </c>
      <c r="D78" s="125">
        <v>1.04</v>
      </c>
      <c r="E78" s="125">
        <v>0.88</v>
      </c>
      <c r="F78" s="125">
        <v>0.97</v>
      </c>
      <c r="G78" s="129">
        <v>0.89</v>
      </c>
      <c r="H78" s="125"/>
      <c r="I78" s="130" t="s">
        <v>9</v>
      </c>
      <c r="J78" s="131">
        <v>0.66</v>
      </c>
      <c r="K78" s="125">
        <v>0.61</v>
      </c>
      <c r="L78" s="125">
        <v>0.7</v>
      </c>
      <c r="M78" s="125">
        <v>0.6</v>
      </c>
      <c r="N78" s="125">
        <v>0.7</v>
      </c>
      <c r="O78" s="129">
        <v>0.61</v>
      </c>
      <c r="Q78" s="128" t="str">
        <f t="shared" si="10"/>
        <v>EDT/s</v>
      </c>
      <c r="R78" s="127">
        <f t="shared" si="11"/>
        <v>0.32999999999999996</v>
      </c>
      <c r="S78" s="127">
        <f t="shared" si="11"/>
        <v>0.32000000000000006</v>
      </c>
      <c r="T78" s="127">
        <f t="shared" si="11"/>
        <v>0.3400000000000001</v>
      </c>
      <c r="U78" s="127">
        <f t="shared" si="11"/>
        <v>0.28</v>
      </c>
      <c r="V78" s="127">
        <f t="shared" si="11"/>
        <v>0.27</v>
      </c>
      <c r="W78" s="127">
        <f t="shared" si="11"/>
        <v>0.28</v>
      </c>
    </row>
    <row r="79" spans="1:23" ht="12.75">
      <c r="A79" s="130" t="s">
        <v>10</v>
      </c>
      <c r="B79" s="131">
        <v>51</v>
      </c>
      <c r="C79" s="125">
        <v>56</v>
      </c>
      <c r="D79" s="125">
        <v>48</v>
      </c>
      <c r="E79" s="125">
        <v>59</v>
      </c>
      <c r="F79" s="125">
        <v>51</v>
      </c>
      <c r="G79" s="129">
        <v>58</v>
      </c>
      <c r="H79" s="125"/>
      <c r="I79" s="130" t="s">
        <v>10</v>
      </c>
      <c r="J79" s="131">
        <v>68</v>
      </c>
      <c r="K79" s="125">
        <v>71</v>
      </c>
      <c r="L79" s="125">
        <v>64</v>
      </c>
      <c r="M79" s="125">
        <v>71</v>
      </c>
      <c r="N79" s="125">
        <v>63</v>
      </c>
      <c r="O79" s="129">
        <v>71</v>
      </c>
      <c r="Q79" s="128" t="str">
        <f t="shared" si="10"/>
        <v>D/%</v>
      </c>
      <c r="R79" s="127">
        <f t="shared" si="11"/>
        <v>-17</v>
      </c>
      <c r="S79" s="127">
        <f t="shared" si="11"/>
        <v>-15</v>
      </c>
      <c r="T79" s="127">
        <f t="shared" si="11"/>
        <v>-16</v>
      </c>
      <c r="U79" s="127">
        <f t="shared" si="11"/>
        <v>-12</v>
      </c>
      <c r="V79" s="127">
        <f t="shared" si="11"/>
        <v>-12</v>
      </c>
      <c r="W79" s="127">
        <f t="shared" si="11"/>
        <v>-13</v>
      </c>
    </row>
    <row r="80" spans="1:23" ht="12.75">
      <c r="A80" s="130" t="s">
        <v>11</v>
      </c>
      <c r="B80" s="131">
        <v>3.2</v>
      </c>
      <c r="C80" s="125">
        <v>4.1</v>
      </c>
      <c r="D80" s="125">
        <v>2.9</v>
      </c>
      <c r="E80" s="125">
        <v>4.6</v>
      </c>
      <c r="F80" s="125">
        <v>3.4</v>
      </c>
      <c r="G80" s="129">
        <v>4.4</v>
      </c>
      <c r="H80" s="125"/>
      <c r="I80" s="130" t="s">
        <v>11</v>
      </c>
      <c r="J80" s="131">
        <v>6.8</v>
      </c>
      <c r="K80" s="125">
        <v>7.5</v>
      </c>
      <c r="L80" s="125">
        <v>6.3</v>
      </c>
      <c r="M80" s="125">
        <v>7.5</v>
      </c>
      <c r="N80" s="125">
        <v>6.1</v>
      </c>
      <c r="O80" s="129">
        <v>7.5</v>
      </c>
      <c r="Q80" s="128" t="str">
        <f t="shared" si="10"/>
        <v>C/dB</v>
      </c>
      <c r="R80" s="127">
        <f t="shared" si="11"/>
        <v>-3.5999999999999996</v>
      </c>
      <c r="S80" s="127">
        <f t="shared" si="11"/>
        <v>-3.4000000000000004</v>
      </c>
      <c r="T80" s="127">
        <f t="shared" si="11"/>
        <v>-3.4</v>
      </c>
      <c r="U80" s="127">
        <f t="shared" si="11"/>
        <v>-2.9000000000000004</v>
      </c>
      <c r="V80" s="127">
        <f t="shared" si="11"/>
        <v>-2.6999999999999997</v>
      </c>
      <c r="W80" s="127">
        <f t="shared" si="11"/>
        <v>-3.0999999999999996</v>
      </c>
    </row>
    <row r="81" spans="1:23" ht="12.75">
      <c r="A81" s="130" t="s">
        <v>12</v>
      </c>
      <c r="B81" s="131">
        <v>68</v>
      </c>
      <c r="C81" s="125">
        <v>61</v>
      </c>
      <c r="D81" s="125">
        <v>72</v>
      </c>
      <c r="E81" s="125">
        <v>57</v>
      </c>
      <c r="F81" s="125">
        <v>68</v>
      </c>
      <c r="G81" s="129">
        <v>59</v>
      </c>
      <c r="H81" s="125"/>
      <c r="I81" s="130" t="s">
        <v>12</v>
      </c>
      <c r="J81" s="131">
        <v>43</v>
      </c>
      <c r="K81" s="125">
        <v>38</v>
      </c>
      <c r="L81" s="125">
        <v>46</v>
      </c>
      <c r="M81" s="125">
        <v>37</v>
      </c>
      <c r="N81" s="125">
        <v>47</v>
      </c>
      <c r="O81" s="129">
        <v>38</v>
      </c>
      <c r="Q81" s="128" t="str">
        <f t="shared" si="10"/>
        <v>TS/ms</v>
      </c>
      <c r="R81" s="127">
        <f t="shared" si="11"/>
        <v>25</v>
      </c>
      <c r="S81" s="127">
        <f t="shared" si="11"/>
        <v>23</v>
      </c>
      <c r="T81" s="127">
        <f t="shared" si="11"/>
        <v>26</v>
      </c>
      <c r="U81" s="127">
        <f t="shared" si="11"/>
        <v>20</v>
      </c>
      <c r="V81" s="127">
        <f t="shared" si="11"/>
        <v>21</v>
      </c>
      <c r="W81" s="127">
        <f t="shared" si="11"/>
        <v>21</v>
      </c>
    </row>
    <row r="82" spans="1:23" ht="12.75">
      <c r="A82" s="130" t="s">
        <v>13</v>
      </c>
      <c r="B82" s="131">
        <v>18.1</v>
      </c>
      <c r="C82" s="125">
        <v>19.3</v>
      </c>
      <c r="D82" s="125">
        <v>18.1</v>
      </c>
      <c r="E82" s="125">
        <v>19</v>
      </c>
      <c r="F82" s="125">
        <v>18.2</v>
      </c>
      <c r="G82" s="129">
        <v>19.2</v>
      </c>
      <c r="H82" s="125"/>
      <c r="I82" s="130" t="s">
        <v>13</v>
      </c>
      <c r="J82" s="131">
        <v>16.2</v>
      </c>
      <c r="K82" s="125">
        <v>17.9</v>
      </c>
      <c r="L82" s="125">
        <v>16.5</v>
      </c>
      <c r="M82" s="125">
        <v>17.5</v>
      </c>
      <c r="N82" s="125">
        <v>16.8</v>
      </c>
      <c r="O82" s="129">
        <v>18.1</v>
      </c>
      <c r="Q82" s="128" t="str">
        <f t="shared" si="10"/>
        <v>G/dB</v>
      </c>
      <c r="R82" s="127">
        <f t="shared" si="11"/>
        <v>1.9000000000000021</v>
      </c>
      <c r="S82" s="127">
        <f t="shared" si="11"/>
        <v>1.4000000000000021</v>
      </c>
      <c r="T82" s="127">
        <f t="shared" si="11"/>
        <v>1.6000000000000014</v>
      </c>
      <c r="U82" s="127">
        <f t="shared" si="11"/>
        <v>1.5</v>
      </c>
      <c r="V82" s="127">
        <f t="shared" si="11"/>
        <v>1.3999999999999986</v>
      </c>
      <c r="W82" s="127">
        <f t="shared" si="11"/>
        <v>1.0999999999999979</v>
      </c>
    </row>
    <row r="83" spans="1:23" ht="12.75">
      <c r="A83" s="130" t="s">
        <v>14</v>
      </c>
      <c r="B83" s="131">
        <v>26.9</v>
      </c>
      <c r="C83" s="125">
        <v>21.3</v>
      </c>
      <c r="D83" s="125">
        <v>23.6</v>
      </c>
      <c r="E83" s="125">
        <v>21.2</v>
      </c>
      <c r="F83" s="125">
        <v>26.7</v>
      </c>
      <c r="G83" s="129">
        <v>24.9</v>
      </c>
      <c r="H83" s="125"/>
      <c r="I83" s="130" t="s">
        <v>14</v>
      </c>
      <c r="J83" s="131">
        <v>21.6</v>
      </c>
      <c r="K83" s="125">
        <v>20.8</v>
      </c>
      <c r="L83" s="125">
        <v>23.2</v>
      </c>
      <c r="M83" s="125">
        <v>17.1</v>
      </c>
      <c r="N83" s="125">
        <v>23.3</v>
      </c>
      <c r="O83" s="129">
        <v>22.5</v>
      </c>
      <c r="Q83" s="128" t="str">
        <f t="shared" si="10"/>
        <v>LF/%</v>
      </c>
      <c r="R83" s="127">
        <f t="shared" si="11"/>
        <v>5.299999999999997</v>
      </c>
      <c r="S83" s="127">
        <f t="shared" si="11"/>
        <v>0.5</v>
      </c>
      <c r="T83" s="127">
        <f t="shared" si="11"/>
        <v>0.40000000000000213</v>
      </c>
      <c r="U83" s="127">
        <f t="shared" si="11"/>
        <v>4.099999999999998</v>
      </c>
      <c r="V83" s="127">
        <f t="shared" si="11"/>
        <v>3.3999999999999986</v>
      </c>
      <c r="W83" s="127">
        <f t="shared" si="11"/>
        <v>2.3999999999999986</v>
      </c>
    </row>
    <row r="84" spans="1:23" ht="12.75">
      <c r="A84" s="130" t="s">
        <v>15</v>
      </c>
      <c r="B84" s="224"/>
      <c r="C84" s="225"/>
      <c r="D84" s="225"/>
      <c r="E84" s="225"/>
      <c r="F84" s="225"/>
      <c r="G84" s="226"/>
      <c r="H84" s="125"/>
      <c r="I84" s="130" t="s">
        <v>15</v>
      </c>
      <c r="J84" s="224"/>
      <c r="K84" s="225"/>
      <c r="L84" s="225"/>
      <c r="M84" s="225"/>
      <c r="N84" s="225"/>
      <c r="O84" s="226"/>
      <c r="Q84" s="128" t="str">
        <f t="shared" si="10"/>
        <v>LFC/%</v>
      </c>
      <c r="R84" s="127">
        <f t="shared" si="11"/>
        <v>0</v>
      </c>
      <c r="S84" s="127">
        <f t="shared" si="11"/>
        <v>0</v>
      </c>
      <c r="T84" s="127">
        <f t="shared" si="11"/>
        <v>0</v>
      </c>
      <c r="U84" s="127">
        <f t="shared" si="11"/>
        <v>0</v>
      </c>
      <c r="V84" s="127">
        <f t="shared" si="11"/>
        <v>0</v>
      </c>
      <c r="W84" s="127">
        <f t="shared" si="11"/>
        <v>0</v>
      </c>
    </row>
    <row r="85" spans="1:23" ht="12.75">
      <c r="A85" s="134" t="s">
        <v>16</v>
      </c>
      <c r="B85" s="227"/>
      <c r="C85" s="228"/>
      <c r="D85" s="228"/>
      <c r="E85" s="228"/>
      <c r="F85" s="228"/>
      <c r="G85" s="229"/>
      <c r="H85" s="125"/>
      <c r="I85" s="134" t="s">
        <v>16</v>
      </c>
      <c r="J85" s="227"/>
      <c r="K85" s="228"/>
      <c r="L85" s="228"/>
      <c r="M85" s="228"/>
      <c r="N85" s="228"/>
      <c r="O85" s="229"/>
      <c r="Q85" s="128" t="str">
        <f t="shared" si="10"/>
        <v>IACC</v>
      </c>
      <c r="R85" s="127">
        <f t="shared" si="11"/>
        <v>0</v>
      </c>
      <c r="S85" s="127">
        <f t="shared" si="11"/>
        <v>0</v>
      </c>
      <c r="T85" s="127">
        <f t="shared" si="11"/>
        <v>0</v>
      </c>
      <c r="U85" s="127">
        <f t="shared" si="11"/>
        <v>0</v>
      </c>
      <c r="V85" s="127">
        <f t="shared" si="11"/>
        <v>0</v>
      </c>
      <c r="W85" s="127">
        <f t="shared" si="11"/>
        <v>0</v>
      </c>
    </row>
    <row r="86" spans="5:15" ht="12.75">
      <c r="E86" s="136"/>
      <c r="F86" s="136"/>
      <c r="G86" s="136"/>
      <c r="H86" s="136"/>
      <c r="M86" s="136"/>
      <c r="N86" s="136"/>
      <c r="O86" s="136"/>
    </row>
    <row r="87" spans="5:15" ht="12.75">
      <c r="E87" s="136"/>
      <c r="F87" s="136"/>
      <c r="G87" s="136"/>
      <c r="H87" s="136"/>
      <c r="I87" s="230"/>
      <c r="J87" s="217"/>
      <c r="K87" s="217"/>
      <c r="L87" s="217"/>
      <c r="M87" s="217"/>
      <c r="O87" s="136"/>
    </row>
    <row r="88" spans="1:15" ht="12.75">
      <c r="A88" s="146"/>
      <c r="E88" s="136"/>
      <c r="F88" s="136"/>
      <c r="G88" s="136"/>
      <c r="H88" s="136"/>
      <c r="I88" s="217"/>
      <c r="J88" s="217"/>
      <c r="K88" s="217"/>
      <c r="L88" s="217"/>
      <c r="M88" s="217"/>
      <c r="N88" s="157"/>
      <c r="O88" s="136"/>
    </row>
    <row r="89" spans="5:15" ht="12.75">
      <c r="E89" s="136"/>
      <c r="F89" s="136"/>
      <c r="G89" s="136"/>
      <c r="H89" s="136"/>
      <c r="I89" s="156"/>
      <c r="J89" s="156"/>
      <c r="K89" s="156"/>
      <c r="L89" s="217"/>
      <c r="M89" s="156"/>
      <c r="N89" s="158"/>
      <c r="O89" s="136"/>
    </row>
    <row r="90" spans="5:15" ht="12.75">
      <c r="E90" s="136"/>
      <c r="F90" s="136"/>
      <c r="G90" s="136"/>
      <c r="H90" s="136"/>
      <c r="I90" s="156"/>
      <c r="J90" s="156"/>
      <c r="K90" s="156"/>
      <c r="L90" s="217"/>
      <c r="M90" s="156"/>
      <c r="N90" s="158"/>
      <c r="O90" s="136"/>
    </row>
    <row r="91" spans="5:15" ht="12.75">
      <c r="E91" s="136"/>
      <c r="F91" s="136"/>
      <c r="G91" s="136"/>
      <c r="H91" s="136"/>
      <c r="I91" s="156"/>
      <c r="J91" s="156"/>
      <c r="K91" s="156"/>
      <c r="L91" s="217"/>
      <c r="M91" s="218"/>
      <c r="N91" s="158"/>
      <c r="O91" s="136"/>
    </row>
    <row r="92" spans="5:15" ht="12.75">
      <c r="E92" s="136"/>
      <c r="F92" s="136"/>
      <c r="G92" s="136"/>
      <c r="H92" s="136"/>
      <c r="I92" s="156"/>
      <c r="J92" s="156"/>
      <c r="K92" s="156"/>
      <c r="L92" s="217"/>
      <c r="M92" s="218"/>
      <c r="N92" s="158"/>
      <c r="O92" s="136"/>
    </row>
    <row r="93" spans="5:15" ht="12.75">
      <c r="E93" s="136"/>
      <c r="F93" s="136"/>
      <c r="G93" s="136"/>
      <c r="H93" s="136"/>
      <c r="I93" s="219"/>
      <c r="J93" s="219"/>
      <c r="K93" s="219"/>
      <c r="L93" s="217"/>
      <c r="M93" s="156"/>
      <c r="N93" s="158"/>
      <c r="O93" s="136"/>
    </row>
    <row r="94" spans="9:14" ht="12.75">
      <c r="I94" s="220"/>
      <c r="J94" s="220"/>
      <c r="K94" s="220"/>
      <c r="L94" s="217"/>
      <c r="M94" s="220"/>
      <c r="N94" s="158"/>
    </row>
    <row r="95" spans="9:13" ht="12.75">
      <c r="I95" s="63"/>
      <c r="J95" s="63"/>
      <c r="K95" s="63"/>
      <c r="L95" s="217"/>
      <c r="M95" s="63"/>
    </row>
    <row r="96" spans="9:13" ht="12.75">
      <c r="I96" s="63"/>
      <c r="J96" s="63"/>
      <c r="K96" s="63"/>
      <c r="L96" s="217"/>
      <c r="M96" s="63"/>
    </row>
    <row r="97" spans="9:13" ht="12.75">
      <c r="I97" s="63"/>
      <c r="J97" s="63"/>
      <c r="K97" s="63"/>
      <c r="L97" s="217"/>
      <c r="M97" s="221"/>
    </row>
    <row r="98" spans="9:13" ht="12.75">
      <c r="I98" s="63"/>
      <c r="J98" s="63"/>
      <c r="K98" s="63"/>
      <c r="L98" s="217"/>
      <c r="M98" s="221"/>
    </row>
    <row r="99" spans="9:13" ht="12.75">
      <c r="I99" s="63"/>
      <c r="J99" s="63"/>
      <c r="K99" s="63"/>
      <c r="L99" s="217"/>
      <c r="M99" s="63"/>
    </row>
    <row r="100" spans="9:13" ht="12.75">
      <c r="I100" s="63"/>
      <c r="J100" s="158"/>
      <c r="K100" s="158"/>
      <c r="L100" s="158"/>
      <c r="M100" s="63"/>
    </row>
    <row r="104" ht="12.75">
      <c r="I104" s="156"/>
    </row>
    <row r="105" ht="12.75">
      <c r="I105" s="156"/>
    </row>
    <row r="106" ht="12.75">
      <c r="I106" s="156"/>
    </row>
    <row r="107" ht="12.75">
      <c r="I107" s="156"/>
    </row>
  </sheetData>
  <printOptions/>
  <pageMargins left="0.75" right="0.75" top="1" bottom="1" header="0.4921259845" footer="0.4921259845"/>
  <pageSetup fitToHeight="1" fitToWidth="1" horizontalDpi="300" verticalDpi="300" orientation="portrait" paperSize="9" scale="52" r:id="rId3"/>
  <headerFooter alignWithMargins="0">
    <oddHeader>&amp;C&amp;A</oddHeader>
    <oddFooter>&amp;LPTB 1.401&amp;CSeite &amp;P&amp;R&amp;D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4"/>
  <dimension ref="A1:DJ51"/>
  <sheetViews>
    <sheetView zoomScale="85" zoomScaleNormal="85" workbookViewId="0" topLeftCell="A1">
      <selection activeCell="A1" sqref="A1"/>
    </sheetView>
  </sheetViews>
  <sheetFormatPr defaultColWidth="11.5546875" defaultRowHeight="15"/>
  <cols>
    <col min="1" max="1" width="15.6640625" style="0" customWidth="1"/>
    <col min="2" max="2" width="9.77734375" style="0" customWidth="1"/>
    <col min="3" max="3" width="6.3359375" style="0" customWidth="1"/>
    <col min="4" max="5" width="6.10546875" style="0" customWidth="1"/>
    <col min="6" max="6" width="6.3359375" style="0" customWidth="1"/>
    <col min="7" max="7" width="5.99609375" style="0" customWidth="1"/>
    <col min="8" max="8" width="11.77734375" style="0" customWidth="1"/>
    <col min="10" max="10" width="13.4453125" style="0" customWidth="1"/>
  </cols>
  <sheetData>
    <row r="1" ht="15">
      <c r="A1">
        <v>85</v>
      </c>
    </row>
    <row r="15" ht="15">
      <c r="H15" t="s">
        <v>29</v>
      </c>
    </row>
    <row r="16" ht="15">
      <c r="H16" t="s">
        <v>30</v>
      </c>
    </row>
    <row r="18" ht="27.75" customHeight="1" thickBot="1"/>
    <row r="19" spans="1:11" ht="48.75" customHeight="1" thickBot="1">
      <c r="A19" s="18" t="s">
        <v>24</v>
      </c>
      <c r="B19" s="355" t="str">
        <f>INDEX(1!$A$15:$A$85,1+12*(A20-1),0)</f>
        <v>1000 Hz</v>
      </c>
      <c r="C19" s="356"/>
      <c r="E19" s="18" t="s">
        <v>23</v>
      </c>
      <c r="H19" s="39" t="str">
        <f>INDEX(1!$A$17:$A$25,$E$20,0)</f>
        <v>D/%</v>
      </c>
      <c r="J19" s="18" t="s">
        <v>26</v>
      </c>
      <c r="K19" s="69" t="str">
        <f>INDEX($B$24:$G$24,0,$J$20)</f>
        <v>S1R1</v>
      </c>
    </row>
    <row r="20" spans="1:10" ht="15">
      <c r="A20" s="40">
        <v>4</v>
      </c>
      <c r="E20">
        <v>3</v>
      </c>
      <c r="J20">
        <v>1</v>
      </c>
    </row>
    <row r="21" ht="57" customHeight="1"/>
    <row r="22" spans="1:14" ht="31.5" customHeight="1">
      <c r="A22" s="51"/>
      <c r="B22" s="50"/>
      <c r="I22" s="36">
        <f aca="true" t="shared" si="0" ref="I22:N22">+I47</f>
        <v>16.472876026328816</v>
      </c>
      <c r="J22" s="36">
        <f t="shared" si="0"/>
        <v>13.407459874745994</v>
      </c>
      <c r="K22" s="36">
        <f t="shared" si="0"/>
        <v>13.35157266544174</v>
      </c>
      <c r="L22" s="36">
        <f t="shared" si="0"/>
        <v>14.228856044337794</v>
      </c>
      <c r="M22" s="36">
        <f t="shared" si="0"/>
        <v>13.181940985115846</v>
      </c>
      <c r="N22" s="36">
        <f t="shared" si="0"/>
        <v>14.28207185906078</v>
      </c>
    </row>
    <row r="23" spans="2:15" ht="22.5" customHeight="1">
      <c r="B23" s="357" t="s">
        <v>26</v>
      </c>
      <c r="C23" s="357"/>
      <c r="D23" s="357"/>
      <c r="E23" s="357"/>
      <c r="F23" s="357"/>
      <c r="G23" s="357"/>
      <c r="I23" s="358" t="s">
        <v>25</v>
      </c>
      <c r="J23" s="358"/>
      <c r="K23" s="358"/>
      <c r="L23" s="358"/>
      <c r="M23" s="358"/>
      <c r="N23" s="358"/>
      <c r="O23">
        <f>+A23</f>
        <v>0</v>
      </c>
    </row>
    <row r="24" spans="1:15" ht="15.75" thickBot="1">
      <c r="A24" s="41" t="s">
        <v>22</v>
      </c>
      <c r="B24" s="44" t="s">
        <v>2</v>
      </c>
      <c r="C24" s="44" t="s">
        <v>3</v>
      </c>
      <c r="D24" s="44" t="s">
        <v>4</v>
      </c>
      <c r="E24" s="44" t="s">
        <v>5</v>
      </c>
      <c r="F24" s="44" t="s">
        <v>6</v>
      </c>
      <c r="G24" s="44" t="s">
        <v>7</v>
      </c>
      <c r="H24" s="44"/>
      <c r="I24" s="45">
        <v>125</v>
      </c>
      <c r="J24" s="45">
        <v>250</v>
      </c>
      <c r="K24" s="46">
        <v>500</v>
      </c>
      <c r="L24" s="45">
        <v>1000</v>
      </c>
      <c r="M24" s="45">
        <v>2000</v>
      </c>
      <c r="N24" s="45">
        <v>4000</v>
      </c>
      <c r="O24" s="41" t="str">
        <f aca="true" t="shared" si="1" ref="O24:O47">+A24</f>
        <v>Participant</v>
      </c>
    </row>
    <row r="25" spans="1:15" ht="15">
      <c r="A25" s="41">
        <v>1</v>
      </c>
      <c r="B25" s="68">
        <f>INDEX(1!$R$17:$W$85,$E$20+12*($A$20-1),B$51)</f>
        <v>-7.600000000000001</v>
      </c>
      <c r="C25" s="68">
        <f>INDEX(1!$R$17:$W$85,$E$20+12*($A$20-1),C$51)</f>
        <v>-9.900000000000006</v>
      </c>
      <c r="D25" s="68">
        <f>INDEX(1!$R$17:$W$85,$E$20+12*($A$20-1),D$51)</f>
        <v>-10.399999999999999</v>
      </c>
      <c r="E25" s="68">
        <f>INDEX(1!$R$17:$W$85,$E$20+12*($A$20-1),E$51)</f>
        <v>-7.199999999999996</v>
      </c>
      <c r="F25" s="68">
        <f>INDEX(1!$R$17:$W$85,$E$20+12*($A$20-1),F$51)</f>
        <v>-9.200000000000003</v>
      </c>
      <c r="G25" s="68">
        <f>INDEX(1!$R$17:$W$85,$E$20+12*($A$20-1),G$51)</f>
        <v>-8.000000000000007</v>
      </c>
      <c r="I25" s="42">
        <f>INDEX(1!$B$17:$O$85,$E$20,$J$20+$C$22*8)</f>
        <v>62.9</v>
      </c>
      <c r="J25" s="42">
        <f>INDEX(1!$B$17:$O$85,$E$20+12,$J$20+$C$22*8)</f>
        <v>49.5</v>
      </c>
      <c r="K25" s="42">
        <f>INDEX(1!$B$17:$O$85,$E$20+24,$J$20+$C$22*8)</f>
        <v>50.2</v>
      </c>
      <c r="L25" s="42">
        <f>INDEX(1!$B$17:$O$85,$E$20+36,$J$20+$C$22*8)</f>
        <v>55.9</v>
      </c>
      <c r="M25" s="42">
        <f>INDEX(1!$B$17:$O$85,$E$20+48,$J$20+$C$22*8)</f>
        <v>50.8</v>
      </c>
      <c r="N25" s="42">
        <f>INDEX(1!$B$17:$O$85,$E$20+60,$J$20+$C$22*8)</f>
        <v>55</v>
      </c>
      <c r="O25" s="43">
        <f t="shared" si="1"/>
        <v>1</v>
      </c>
    </row>
    <row r="26" spans="1:15" ht="15">
      <c r="A26" s="41">
        <v>2</v>
      </c>
      <c r="B26" s="68">
        <f>INDEX(2!$R$17:$W$85,$E$20+12*($A$20-1),B$51)</f>
        <v>-9.899999999999999</v>
      </c>
      <c r="C26" s="68">
        <f>INDEX(2!$R$17:$W$85,$E$20+12*($A$20-1),C$51)</f>
        <v>-8.199999999999996</v>
      </c>
      <c r="D26" s="68">
        <f>INDEX(2!$R$17:$W$85,$E$20+12*($A$20-1),D$51)</f>
        <v>-9.199999999999996</v>
      </c>
      <c r="E26" s="68">
        <f>INDEX(2!$R$17:$W$85,$E$20+12*($A$20-1),E$51)</f>
        <v>-8.399999999999999</v>
      </c>
      <c r="F26" s="68">
        <f>INDEX(2!$R$17:$W$85,$E$20+12*($A$20-1),F$51)</f>
        <v>-9.5</v>
      </c>
      <c r="G26" s="68">
        <f>INDEX(2!$R$17:$W$85,$E$20+12*($A$20-1),G$51)</f>
        <v>-7.800000000000004</v>
      </c>
      <c r="I26" s="42">
        <f>INDEX(2!$B$17:$O$85,$E$20,$J$20+$C$22*8)</f>
        <v>58.8</v>
      </c>
      <c r="J26" s="42">
        <f>INDEX(2!$B$17:$O$85,$E$20+12,$J$20+$C$22*8)</f>
        <v>50.9</v>
      </c>
      <c r="K26" s="42">
        <f>INDEX(2!$B$17:$O$85,$E$20+24,$J$20+$C$22*8)</f>
        <v>54.2</v>
      </c>
      <c r="L26" s="42">
        <f>INDEX(2!$B$17:$O$85,$E$20+36,$J$20+$C$22*8)</f>
        <v>55.4</v>
      </c>
      <c r="M26" s="42">
        <f>INDEX(2!$B$17:$O$85,$E$20+48,$J$20+$C$22*8)</f>
        <v>50.7</v>
      </c>
      <c r="N26" s="42">
        <f>INDEX(2!$B$17:$O$85,$E$20+60,$J$20+$C$22*8)</f>
        <v>55.8</v>
      </c>
      <c r="O26" s="43">
        <f t="shared" si="1"/>
        <v>2</v>
      </c>
    </row>
    <row r="27" spans="1:15" ht="15">
      <c r="A27" s="41">
        <v>3</v>
      </c>
      <c r="B27" s="68">
        <f>INDEX(3!$R$17:$W$85,$E$20+12*($A$20-1),B$51)</f>
        <v>-13.089999999999996</v>
      </c>
      <c r="C27" s="68">
        <f>INDEX(3!$R$17:$W$85,$E$20+12*($A$20-1),C$51)</f>
        <v>-12.710000000000008</v>
      </c>
      <c r="D27" s="68">
        <f>INDEX(3!$R$17:$W$85,$E$20+12*($A$20-1),D$51)</f>
        <v>-13.880000000000003</v>
      </c>
      <c r="E27" s="68">
        <f>INDEX(3!$R$17:$W$85,$E$20+12*($A$20-1),E$51)</f>
        <v>-12.739999999999995</v>
      </c>
      <c r="F27" s="68">
        <f>INDEX(3!$R$17:$W$85,$E$20+12*($A$20-1),F$51)</f>
        <v>-11.630000000000003</v>
      </c>
      <c r="G27" s="68">
        <f>INDEX(3!$R$17:$W$85,$E$20+12*($A$20-1),G$51)</f>
        <v>-10.999999999999993</v>
      </c>
      <c r="I27" s="42">
        <f>INDEX(3!$B$17:$O$85,$E$20,$J$20+$C$22*8)</f>
        <v>59.06</v>
      </c>
      <c r="J27" s="42">
        <f>INDEX(3!$B$17:$O$85,$E$20+12,$J$20+$C$22*8)</f>
        <v>50.77</v>
      </c>
      <c r="K27" s="42">
        <f>INDEX(3!$B$17:$O$85,$E$20+24,$J$20+$C$22*8)</f>
        <v>49.44</v>
      </c>
      <c r="L27" s="42">
        <f>INDEX(3!$B$17:$O$85,$E$20+36,$J$20+$C$22*8)</f>
        <v>53.76</v>
      </c>
      <c r="M27" s="42">
        <f>INDEX(3!$B$17:$O$85,$E$20+48,$J$20+$C$22*8)</f>
        <v>50.4</v>
      </c>
      <c r="N27" s="42">
        <f>INDEX(3!$B$17:$O$85,$E$20+60,$J$20+$C$22*8)</f>
        <v>53.23</v>
      </c>
      <c r="O27" s="43">
        <f t="shared" si="1"/>
        <v>3</v>
      </c>
    </row>
    <row r="28" spans="1:15" ht="15">
      <c r="A28" s="41">
        <v>4</v>
      </c>
      <c r="B28" s="68">
        <f>INDEX(4!$R$17:$W$85,$E$20+12*($A$20-1),B$51)</f>
        <v>0</v>
      </c>
      <c r="C28" s="68">
        <f>INDEX(4!$R$17:$W$85,$E$20+12*($A$20-1),C$51)</f>
        <v>0</v>
      </c>
      <c r="D28" s="68">
        <f>INDEX(4!$R$17:$W$85,$E$20+12*($A$20-1),D$51)</f>
        <v>0</v>
      </c>
      <c r="E28" s="68">
        <f>INDEX(4!$R$17:$W$85,$E$20+12*($A$20-1),E$51)</f>
        <v>0</v>
      </c>
      <c r="F28" s="68">
        <f>INDEX(4!$R$17:$W$85,$E$20+12*($A$20-1),F$51)</f>
        <v>0</v>
      </c>
      <c r="G28" s="68">
        <f>INDEX(4!$R$17:$W$85,$E$20+12*($A$20-1),G$51)</f>
        <v>0</v>
      </c>
      <c r="I28" s="42">
        <f>INDEX(4!$B$17:$O$85,$E$20,$J$20+$C$22*8)</f>
        <v>0</v>
      </c>
      <c r="J28" s="42">
        <f>INDEX(4!$B$17:$O$85,$E$20+12,$J$20+$C$22*8)</f>
        <v>0</v>
      </c>
      <c r="K28" s="42">
        <f>INDEX(4!$B$17:$O$85,$E$20+24,$J$20+$C$22*8)</f>
        <v>0</v>
      </c>
      <c r="L28" s="42">
        <f>INDEX(4!$B$17:$O$85,$E$20+36,$J$20+$C$22*8)</f>
        <v>0</v>
      </c>
      <c r="M28" s="42">
        <f>INDEX(4!$B$17:$O$85,$E$20+48,$J$20+$C$22*8)</f>
        <v>0</v>
      </c>
      <c r="N28" s="42">
        <f>INDEX(4!$B$17:$O$85,$E$20+60,$J$20+$C$22*8)</f>
        <v>0</v>
      </c>
      <c r="O28" s="43">
        <f t="shared" si="1"/>
        <v>4</v>
      </c>
    </row>
    <row r="29" spans="1:15" ht="15">
      <c r="A29" s="41">
        <v>5</v>
      </c>
      <c r="B29" s="68">
        <f>INDEX(5!$R$17:$W$85,$E$20+12*($A$20-1),B$51)</f>
        <v>-14</v>
      </c>
      <c r="C29" s="68">
        <f>INDEX(5!$R$17:$W$85,$E$20+12*($A$20-1),C$51)</f>
        <v>-11</v>
      </c>
      <c r="D29" s="68">
        <f>INDEX(5!$R$17:$W$85,$E$20+12*($A$20-1),D$51)</f>
        <v>-11</v>
      </c>
      <c r="E29" s="68">
        <f>INDEX(5!$R$17:$W$85,$E$20+12*($A$20-1),E$51)</f>
        <v>-10</v>
      </c>
      <c r="F29" s="68">
        <f>INDEX(5!$R$17:$W$85,$E$20+12*($A$20-1),F$51)</f>
        <v>-10</v>
      </c>
      <c r="G29" s="68">
        <f>INDEX(5!$R$17:$W$85,$E$20+12*($A$20-1),G$51)</f>
        <v>-6</v>
      </c>
      <c r="I29" s="42">
        <f>INDEX(5!$B$17:$O$85,$E$20,$J$20+$C$22*8)</f>
        <v>68</v>
      </c>
      <c r="J29" s="42">
        <f>INDEX(5!$B$17:$O$85,$E$20+12,$J$20+$C$22*8)</f>
        <v>48</v>
      </c>
      <c r="K29" s="42">
        <f>INDEX(5!$B$17:$O$85,$E$20+24,$J$20+$C$22*8)</f>
        <v>43</v>
      </c>
      <c r="L29" s="42">
        <f>INDEX(5!$B$17:$O$85,$E$20+36,$J$20+$C$22*8)</f>
        <v>49</v>
      </c>
      <c r="M29" s="42">
        <f>INDEX(5!$B$17:$O$85,$E$20+48,$J$20+$C$22*8)</f>
        <v>46</v>
      </c>
      <c r="N29" s="42">
        <f>INDEX(5!$B$17:$O$85,$E$20+60,$J$20+$C$22*8)</f>
        <v>55</v>
      </c>
      <c r="O29" s="43">
        <f t="shared" si="1"/>
        <v>5</v>
      </c>
    </row>
    <row r="30" spans="1:15" ht="15">
      <c r="A30" s="41">
        <v>6</v>
      </c>
      <c r="B30" s="68">
        <f>INDEX(6!$R$17:$W$85,$E$20+12*($A$20-1),B$51)</f>
        <v>-7.799999999999997</v>
      </c>
      <c r="C30" s="68">
        <f>INDEX(6!$R$17:$W$85,$E$20+12*($A$20-1),C$51)</f>
        <v>-7.099999999999994</v>
      </c>
      <c r="D30" s="68">
        <f>INDEX(6!$R$17:$W$85,$E$20+12*($A$20-1),D$51)</f>
        <v>-8.100000000000001</v>
      </c>
      <c r="E30" s="68">
        <f>INDEX(6!$R$17:$W$85,$E$20+12*($A$20-1),E$51)</f>
        <v>-5</v>
      </c>
      <c r="F30" s="68">
        <f>INDEX(6!$R$17:$W$85,$E$20+12*($A$20-1),F$51)</f>
        <v>-8</v>
      </c>
      <c r="G30" s="68">
        <f>INDEX(6!$R$17:$W$85,$E$20+12*($A$20-1),G$51)</f>
        <v>-5.699999999999989</v>
      </c>
      <c r="I30" s="42">
        <f>INDEX(6!$B$17:$O$85,$E$20,$J$20+$C$22*8)</f>
        <v>63.7</v>
      </c>
      <c r="J30" s="42">
        <f>INDEX(6!$B$17:$O$85,$E$20+12,$J$20+$C$22*8)</f>
        <v>56</v>
      </c>
      <c r="K30" s="42">
        <f>INDEX(6!$B$17:$O$85,$E$20+24,$J$20+$C$22*8)</f>
        <v>55.6</v>
      </c>
      <c r="L30" s="42">
        <f>INDEX(6!$B$17:$O$85,$E$20+36,$J$20+$C$22*8)</f>
        <v>59.7</v>
      </c>
      <c r="M30" s="42">
        <f>INDEX(6!$B$17:$O$85,$E$20+48,$J$20+$C$22*8)</f>
        <v>55.8</v>
      </c>
      <c r="N30" s="42">
        <f>INDEX(6!$B$17:$O$85,$E$20+60,$J$20+$C$22*8)</f>
        <v>61.1</v>
      </c>
      <c r="O30" s="43">
        <f t="shared" si="1"/>
        <v>6</v>
      </c>
    </row>
    <row r="31" spans="1:15" ht="15">
      <c r="A31" s="41">
        <v>7</v>
      </c>
      <c r="B31" s="68">
        <f>INDEX(7!$R$17:$W$85,$E$20+12*($A$20-1),B$51)</f>
        <v>-9.919999999999995</v>
      </c>
      <c r="C31" s="68">
        <f>INDEX(7!$R$17:$W$85,$E$20+12*($A$20-1),C$51)</f>
        <v>-7.589999999999996</v>
      </c>
      <c r="D31" s="68">
        <f>INDEX(7!$R$17:$W$85,$E$20+12*($A$20-1),D$51)</f>
        <v>-7.6000000000000085</v>
      </c>
      <c r="E31" s="68">
        <f>INDEX(7!$R$17:$W$85,$E$20+12*($A$20-1),E$51)</f>
        <v>-7.140000000000001</v>
      </c>
      <c r="F31" s="68">
        <f>INDEX(7!$R$17:$W$85,$E$20+12*($A$20-1),F$51)</f>
        <v>-7.410000000000004</v>
      </c>
      <c r="G31" s="68">
        <f>INDEX(7!$R$17:$W$85,$E$20+12*($A$20-1),G$51)</f>
        <v>-6.560000000000002</v>
      </c>
      <c r="I31" s="42">
        <f>INDEX(7!$B$17:$O$85,$E$20,$J$20+$C$22*8)</f>
        <v>60.38</v>
      </c>
      <c r="J31" s="42">
        <f>INDEX(7!$B$17:$O$85,$E$20+12,$J$20+$C$22*8)</f>
        <v>52.13</v>
      </c>
      <c r="K31" s="42">
        <f>INDEX(7!$B$17:$O$85,$E$20+24,$J$20+$C$22*8)</f>
        <v>51.84</v>
      </c>
      <c r="L31" s="42">
        <f>INDEX(7!$B$17:$O$85,$E$20+36,$J$20+$C$22*8)</f>
        <v>57.15</v>
      </c>
      <c r="M31" s="42">
        <f>INDEX(7!$B$17:$O$85,$E$20+48,$J$20+$C$22*8)</f>
        <v>53.16</v>
      </c>
      <c r="N31" s="42">
        <f>INDEX(7!$B$17:$O$85,$E$20+60,$J$20+$C$22*8)</f>
        <v>55.5</v>
      </c>
      <c r="O31" s="43">
        <f t="shared" si="1"/>
        <v>7</v>
      </c>
    </row>
    <row r="32" spans="1:15" ht="15">
      <c r="A32" s="41">
        <v>8</v>
      </c>
      <c r="B32" s="68">
        <f>INDEX(8!$R$17:$W$85,$E$20+12*($A$20-1),B$51)</f>
        <v>-9.800000000000004</v>
      </c>
      <c r="C32" s="68">
        <f>INDEX(8!$R$17:$W$85,$E$20+12*($A$20-1),C$51)</f>
        <v>-9.299999999999997</v>
      </c>
      <c r="D32" s="68">
        <f>INDEX(8!$R$17:$W$85,$E$20+12*($A$20-1),D$51)</f>
        <v>-11.800000000000004</v>
      </c>
      <c r="E32" s="68">
        <f>INDEX(8!$R$17:$W$85,$E$20+12*($A$20-1),E$51)</f>
        <v>-5.799999999999997</v>
      </c>
      <c r="F32" s="68">
        <f>INDEX(8!$R$17:$W$85,$E$20+12*($A$20-1),F$51)</f>
        <v>-7.899999999999999</v>
      </c>
      <c r="G32" s="68">
        <f>INDEX(8!$R$17:$W$85,$E$20+12*($A$20-1),G$51)</f>
        <v>-5.100000000000001</v>
      </c>
      <c r="I32" s="42">
        <f>INDEX(8!$B$17:$O$85,$E$20,$J$20+$C$22*8)</f>
        <v>61.6</v>
      </c>
      <c r="J32" s="42">
        <f>INDEX(8!$B$17:$O$85,$E$20+12,$J$20+$C$22*8)</f>
        <v>52.9</v>
      </c>
      <c r="K32" s="42">
        <f>INDEX(8!$B$17:$O$85,$E$20+24,$J$20+$C$22*8)</f>
        <v>50.7</v>
      </c>
      <c r="L32" s="42">
        <f>INDEX(8!$B$17:$O$85,$E$20+36,$J$20+$C$22*8)</f>
        <v>53.4</v>
      </c>
      <c r="M32" s="42">
        <f>INDEX(8!$B$17:$O$85,$E$20+48,$J$20+$C$22*8)</f>
        <v>49.5</v>
      </c>
      <c r="N32" s="42">
        <f>INDEX(8!$B$17:$O$85,$E$20+60,$J$20+$C$22*8)</f>
        <v>52.9</v>
      </c>
      <c r="O32" s="43">
        <f t="shared" si="1"/>
        <v>8</v>
      </c>
    </row>
    <row r="33" spans="1:15" ht="15">
      <c r="A33" s="41">
        <v>9</v>
      </c>
      <c r="B33" s="68">
        <f>INDEX(9!$R$17:$W$85,$E$20+12*($A$20-1),B$51)</f>
        <v>-11</v>
      </c>
      <c r="C33" s="68">
        <f>INDEX(9!$R$17:$W$85,$E$20+12*($A$20-1),C$51)</f>
        <v>-9</v>
      </c>
      <c r="D33" s="68">
        <f>INDEX(9!$R$17:$W$85,$E$20+12*($A$20-1),D$51)</f>
        <v>-10</v>
      </c>
      <c r="E33" s="68">
        <f>INDEX(9!$R$17:$W$85,$E$20+12*($A$20-1),E$51)</f>
        <v>8</v>
      </c>
      <c r="F33" s="68">
        <f>INDEX(9!$R$17:$W$85,$E$20+12*($A$20-1),F$51)</f>
        <v>-9</v>
      </c>
      <c r="G33" s="68">
        <f>INDEX(9!$R$17:$W$85,$E$20+12*($A$20-1),G$51)</f>
        <v>-8</v>
      </c>
      <c r="I33" s="42">
        <f>INDEX(9!$B$17:$O$85,$E$20,$J$20+$C$22*8)</f>
        <v>65</v>
      </c>
      <c r="J33" s="42">
        <f>INDEX(9!$B$17:$O$85,$E$20+12,$J$20+$C$22*8)</f>
        <v>48</v>
      </c>
      <c r="K33" s="42">
        <f>INDEX(9!$B$17:$O$85,$E$20+24,$J$20+$C$22*8)</f>
        <v>42</v>
      </c>
      <c r="L33" s="42">
        <f>INDEX(9!$B$17:$O$85,$E$20+36,$J$20+$C$22*8)</f>
        <v>45</v>
      </c>
      <c r="M33" s="42">
        <f>INDEX(9!$B$17:$O$85,$E$20+48,$J$20+$C$22*8)</f>
        <v>43</v>
      </c>
      <c r="N33" s="42">
        <f>INDEX(9!$B$17:$O$85,$E$20+60,$J$20+$C$22*8)</f>
        <v>51</v>
      </c>
      <c r="O33" s="43">
        <f t="shared" si="1"/>
        <v>9</v>
      </c>
    </row>
    <row r="34" spans="1:15" ht="15">
      <c r="A34" s="41">
        <v>10</v>
      </c>
      <c r="B34" s="68">
        <f>INDEX('10'!$R$17:$W$85,$E$20+12*($A$20-1),B$51)</f>
        <v>0</v>
      </c>
      <c r="C34" s="68">
        <f>INDEX('10'!$R$17:$W$85,$E$20+12*($A$20-1),C$51)</f>
        <v>0</v>
      </c>
      <c r="D34" s="68">
        <f>INDEX('10'!$R$17:$W$85,$E$20+12*($A$20-1),D$51)</f>
        <v>0</v>
      </c>
      <c r="E34" s="68">
        <f>INDEX('10'!$R$17:$W$85,$E$20+12*($A$20-1),E$51)</f>
        <v>0</v>
      </c>
      <c r="F34" s="68">
        <f>INDEX('10'!$R$17:$W$85,$E$20+12*($A$20-1),F$51)</f>
        <v>0</v>
      </c>
      <c r="G34" s="68">
        <f>INDEX('10'!$R$17:$W$85,$E$20+12*($A$20-1),G$51)</f>
        <v>0</v>
      </c>
      <c r="I34" s="42">
        <f>INDEX('10'!$B$17:$O$85,$E$20,$J$20+$C$22*8)</f>
        <v>0</v>
      </c>
      <c r="J34" s="42">
        <f>INDEX('10'!$B$17:$O$85,$E$20+12,$J$20+$C$22*8)</f>
        <v>0</v>
      </c>
      <c r="K34" s="42">
        <f>INDEX('10'!$B$17:$O$85,$E$20+24,$J$20+$C$22*8)</f>
        <v>0</v>
      </c>
      <c r="L34" s="42">
        <f>INDEX('10'!$B$17:$O$85,$E$20+36,$J$20+$C$22*8)</f>
        <v>0</v>
      </c>
      <c r="M34" s="42">
        <f>INDEX('10'!$B$17:$O$85,$E$20+48,$J$20+$C$22*8)</f>
        <v>0</v>
      </c>
      <c r="N34" s="42">
        <f>INDEX('10'!$B$17:$O$85,$E$20+60,$J$20+$C$22*8)</f>
        <v>0</v>
      </c>
      <c r="O34" s="43">
        <f t="shared" si="1"/>
        <v>10</v>
      </c>
    </row>
    <row r="35" spans="1:15" ht="15">
      <c r="A35" s="41">
        <v>11</v>
      </c>
      <c r="B35" s="68">
        <f>INDEX('11'!$R$17:$W$85,$E$20+12*($A$20-1),B$51)</f>
        <v>-5.200000000000003</v>
      </c>
      <c r="C35" s="68">
        <f>INDEX('11'!$R$17:$W$85,$E$20+12*($A$20-1),C$51)</f>
        <v>-9.600000000000009</v>
      </c>
      <c r="D35" s="68">
        <f>INDEX('11'!$R$17:$W$85,$E$20+12*($A$20-1),D$51)</f>
        <v>-9.800000000000004</v>
      </c>
      <c r="E35" s="68">
        <f>INDEX('11'!$R$17:$W$85,$E$20+12*($A$20-1),E$51)</f>
        <v>-4.800000000000004</v>
      </c>
      <c r="F35" s="68">
        <f>INDEX('11'!$R$17:$W$85,$E$20+12*($A$20-1),F$51)</f>
        <v>-11.240000000000002</v>
      </c>
      <c r="G35" s="68">
        <f>INDEX('11'!$R$17:$W$85,$E$20+12*($A$20-1),G$51)</f>
        <v>-6.100000000000001</v>
      </c>
      <c r="I35" s="42">
        <f>INDEX('11'!$B$17:$O$85,$E$20,$J$20+$C$22*8)</f>
        <v>62.7</v>
      </c>
      <c r="J35" s="42">
        <f>INDEX('11'!$B$17:$O$85,$E$20+12,$J$20+$C$22*8)</f>
        <v>52.2</v>
      </c>
      <c r="K35" s="42">
        <f>INDEX('11'!$B$17:$O$85,$E$20+24,$J$20+$C$22*8)</f>
        <v>51</v>
      </c>
      <c r="L35" s="42">
        <f>INDEX('11'!$B$17:$O$85,$E$20+36,$J$20+$C$22*8)</f>
        <v>56.8</v>
      </c>
      <c r="M35" s="42">
        <f>INDEX('11'!$B$17:$O$85,$E$20+48,$J$20+$C$22*8)</f>
        <v>50.6</v>
      </c>
      <c r="N35" s="42">
        <f>INDEX('11'!$B$17:$O$85,$E$20+60,$J$20+$C$22*8)</f>
        <v>57.9</v>
      </c>
      <c r="O35" s="43">
        <f t="shared" si="1"/>
        <v>11</v>
      </c>
    </row>
    <row r="36" spans="1:15" ht="15">
      <c r="A36" s="41">
        <v>12</v>
      </c>
      <c r="B36" s="68">
        <f>INDEX('12'!$R$17:$W$85,$E$20+12*($A$20-1),B$51)</f>
        <v>-9.780000000000001</v>
      </c>
      <c r="C36" s="68">
        <f>INDEX('12'!$R$17:$W$85,$E$20+12*($A$20-1),C$51)</f>
        <v>-8.89</v>
      </c>
      <c r="D36" s="68">
        <f>INDEX('12'!$R$17:$W$85,$E$20+12*($A$20-1),D$51)</f>
        <v>-9.949999999999996</v>
      </c>
      <c r="E36" s="68">
        <f>INDEX('12'!$R$17:$W$85,$E$20+12*($A$20-1),E$51)</f>
        <v>-8.170000000000002</v>
      </c>
      <c r="F36" s="68">
        <f>INDEX('12'!$R$17:$W$85,$E$20+12*($A$20-1),F$51)</f>
        <v>-8.130000000000003</v>
      </c>
      <c r="G36" s="68">
        <f>INDEX('12'!$R$17:$W$85,$E$20+12*($A$20-1),G$51)</f>
        <v>-8.490000000000002</v>
      </c>
      <c r="I36" s="42">
        <f>INDEX('12'!$B$17:$O$85,$E$20,$J$20+$C$22*8)</f>
        <v>67.24</v>
      </c>
      <c r="J36" s="42">
        <f>INDEX('12'!$B$17:$O$85,$E$20+12,$J$20+$C$22*8)</f>
        <v>50.51</v>
      </c>
      <c r="K36" s="42">
        <f>INDEX('12'!$B$17:$O$85,$E$20+24,$J$20+$C$22*8)</f>
        <v>44.13</v>
      </c>
      <c r="L36" s="42">
        <f>INDEX('12'!$B$17:$O$85,$E$20+36,$J$20+$C$22*8)</f>
        <v>47.53</v>
      </c>
      <c r="M36" s="42">
        <f>INDEX('12'!$B$17:$O$85,$E$20+48,$J$20+$C$22*8)</f>
        <v>44.62</v>
      </c>
      <c r="N36" s="42">
        <f>INDEX('12'!$B$17:$O$85,$E$20+60,$J$20+$C$22*8)</f>
        <v>52.4</v>
      </c>
      <c r="O36" s="43">
        <f t="shared" si="1"/>
        <v>12</v>
      </c>
    </row>
    <row r="37" spans="1:15" ht="15">
      <c r="A37" s="41">
        <v>13</v>
      </c>
      <c r="B37" s="68">
        <f>INDEX('13'!$R$17:$W$85,$E$20+12*($A$20-1),B$51)</f>
        <v>-8.770999999999994</v>
      </c>
      <c r="C37" s="68">
        <f>INDEX('13'!$R$17:$W$85,$E$20+12*($A$20-1),C$51)</f>
        <v>-12.87400000000001</v>
      </c>
      <c r="D37" s="68">
        <f>INDEX('13'!$R$17:$W$85,$E$20+12*($A$20-1),D$51)</f>
        <v>-8.700999999999993</v>
      </c>
      <c r="E37" s="68">
        <f>INDEX('13'!$R$17:$W$85,$E$20+12*($A$20-1),E$51)</f>
        <v>-9.07</v>
      </c>
      <c r="F37" s="68">
        <f>INDEX('13'!$R$17:$W$85,$E$20+12*($A$20-1),F$51)</f>
        <v>7.513999999999996</v>
      </c>
      <c r="G37" s="68">
        <f>INDEX('13'!$R$17:$W$85,$E$20+12*($A$20-1),G$51)</f>
        <v>-4.742999999999995</v>
      </c>
      <c r="I37" s="42">
        <f>INDEX('13'!$B$17:$O$85,$E$20,$J$20+$C$22*8)</f>
        <v>65.486</v>
      </c>
      <c r="J37" s="42">
        <f>INDEX('13'!$B$17:$O$85,$E$20+12,$J$20+$C$22*8)</f>
        <v>59.819</v>
      </c>
      <c r="K37" s="42">
        <f>INDEX('13'!$B$17:$O$85,$E$20+24,$J$20+$C$22*8)</f>
        <v>60.887</v>
      </c>
      <c r="L37" s="42">
        <f>INDEX('13'!$B$17:$O$85,$E$20+36,$J$20+$C$22*8)</f>
        <v>63.451</v>
      </c>
      <c r="M37" s="42">
        <f>INDEX('13'!$B$17:$O$85,$E$20+48,$J$20+$C$22*8)</f>
        <v>60.205</v>
      </c>
      <c r="N37" s="42">
        <f>INDEX('13'!$B$17:$O$85,$E$20+60,$J$20+$C$22*8)</f>
        <v>64.279</v>
      </c>
      <c r="O37" s="43">
        <f t="shared" si="1"/>
        <v>13</v>
      </c>
    </row>
    <row r="38" spans="1:15" ht="15">
      <c r="A38" s="41">
        <v>14</v>
      </c>
      <c r="B38" s="68">
        <f>INDEX('14'!$R$17:$W$85,$E$20+12*($A$20-1),B$51)</f>
        <v>-7.100000000000001</v>
      </c>
      <c r="C38" s="68">
        <f>INDEX('14'!$R$17:$W$85,$E$20+12*($A$20-1),C$51)</f>
        <v>-7.700000000000003</v>
      </c>
      <c r="D38" s="68">
        <f>INDEX('14'!$R$17:$W$85,$E$20+12*($A$20-1),D$51)</f>
        <v>-12.100000000000001</v>
      </c>
      <c r="E38" s="68">
        <f>INDEX('14'!$R$17:$W$85,$E$20+12*($A$20-1),E$51)</f>
        <v>-6.5</v>
      </c>
      <c r="F38" s="68">
        <f>INDEX('14'!$R$17:$W$85,$E$20+12*($A$20-1),F$51)</f>
        <v>-7.299999999999997</v>
      </c>
      <c r="G38" s="68">
        <f>INDEX('14'!$R$17:$W$85,$E$20+12*($A$20-1),G$51)</f>
        <v>-6.5</v>
      </c>
      <c r="I38" s="42">
        <f>INDEX('14'!$B$17:$O$85,$E$20,$J$20+$C$22*8)</f>
        <v>54.3</v>
      </c>
      <c r="J38" s="42">
        <f>INDEX('14'!$B$17:$O$85,$E$20+12,$J$20+$C$22*8)</f>
        <v>47.4</v>
      </c>
      <c r="K38" s="42">
        <f>INDEX('14'!$B$17:$O$85,$E$20+24,$J$20+$C$22*8)</f>
        <v>47.4</v>
      </c>
      <c r="L38" s="42">
        <f>INDEX('14'!$B$17:$O$85,$E$20+36,$J$20+$C$22*8)</f>
        <v>52.3</v>
      </c>
      <c r="M38" s="42">
        <f>INDEX('14'!$B$17:$O$85,$E$20+48,$J$20+$C$22*8)</f>
        <v>48.8</v>
      </c>
      <c r="N38" s="42">
        <f>INDEX('14'!$B$17:$O$85,$E$20+60,$J$20+$C$22*8)</f>
        <v>54.2</v>
      </c>
      <c r="O38" s="43">
        <f t="shared" si="1"/>
        <v>14</v>
      </c>
    </row>
    <row r="39" spans="1:114" ht="15">
      <c r="A39" s="41">
        <v>15</v>
      </c>
      <c r="B39" s="68">
        <f>INDEX('15'!$R$17:$W$85,$E$20+12*($A$20-1),B$51)</f>
        <v>-10</v>
      </c>
      <c r="C39" s="68">
        <f>INDEX('15'!$R$17:$W$85,$E$20+12*($A$20-1),C$51)</f>
        <v>-9</v>
      </c>
      <c r="D39" s="68">
        <f>INDEX('15'!$R$17:$W$85,$E$20+12*($A$20-1),D$51)</f>
        <v>-10</v>
      </c>
      <c r="E39" s="68">
        <f>INDEX('15'!$R$17:$W$85,$E$20+12*($A$20-1),E$51)</f>
        <v>-9</v>
      </c>
      <c r="F39" s="68">
        <f>INDEX('15'!$R$17:$W$85,$E$20+12*($A$20-1),F$51)</f>
        <v>-8</v>
      </c>
      <c r="G39" s="68">
        <f>INDEX('15'!$R$17:$W$85,$E$20+12*($A$20-1),G$51)</f>
        <v>-8</v>
      </c>
      <c r="I39" s="42">
        <f>INDEX('15'!$B$17:$O$85,$E$20,$J$20+$C$22*8)</f>
        <v>57</v>
      </c>
      <c r="J39" s="42">
        <f>INDEX('15'!$B$17:$O$85,$E$20+12,$J$20+$C$22*8)</f>
        <v>49</v>
      </c>
      <c r="K39" s="42">
        <f>INDEX('15'!$B$17:$O$85,$E$20+24,$J$20+$C$22*8)</f>
        <v>48</v>
      </c>
      <c r="L39" s="42">
        <f>INDEX('15'!$B$17:$O$85,$E$20+36,$J$20+$C$22*8)</f>
        <v>54</v>
      </c>
      <c r="M39" s="42">
        <f>INDEX('15'!$B$17:$O$85,$E$20+48,$J$20+$C$22*8)</f>
        <v>49</v>
      </c>
      <c r="N39" s="42">
        <f>INDEX('15'!$B$17:$O$85,$E$20+60,$J$20+$C$22*8)</f>
        <v>55</v>
      </c>
      <c r="O39" s="43">
        <f t="shared" si="1"/>
        <v>15</v>
      </c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</row>
    <row r="40" spans="1:114" ht="15">
      <c r="A40" s="41">
        <v>16</v>
      </c>
      <c r="B40" s="68">
        <f>INDEX('16'!$R$17:$W$85,$E$20+12*($A$20-1),B$51)</f>
        <v>-8.300145</v>
      </c>
      <c r="C40" s="68">
        <f>INDEX('16'!$R$17:$W$85,$E$20+12*($A$20-1),C$51)</f>
        <v>-8.387557999999999</v>
      </c>
      <c r="D40" s="68">
        <f>INDEX('16'!$R$17:$W$85,$E$20+12*($A$20-1),D$51)</f>
        <v>-7.722458000000003</v>
      </c>
      <c r="E40" s="68">
        <f>INDEX('16'!$R$17:$W$85,$E$20+12*($A$20-1),E$51)</f>
        <v>-6.694515000000003</v>
      </c>
      <c r="F40" s="68">
        <f>INDEX('16'!$R$17:$W$85,$E$20+12*($A$20-1),F$51)</f>
        <v>-7.187405000000005</v>
      </c>
      <c r="G40" s="68">
        <f>INDEX('16'!$R$17:$W$85,$E$20+12*($A$20-1),G$51)</f>
        <v>-6.372039999999998</v>
      </c>
      <c r="I40" s="42">
        <f>INDEX('16'!$B$17:$O$85,$E$20,$J$20+$C$22*8)</f>
        <v>51.664757</v>
      </c>
      <c r="J40" s="42">
        <f>INDEX('16'!$B$17:$O$85,$E$20+12,$J$20+$C$22*8)</f>
        <v>44.090664</v>
      </c>
      <c r="K40" s="42">
        <f>INDEX('16'!$B$17:$O$85,$E$20+24,$J$20+$C$22*8)</f>
        <v>43.633118</v>
      </c>
      <c r="L40" s="42">
        <f>INDEX('16'!$B$17:$O$85,$E$20+36,$J$20+$C$22*8)</f>
        <v>47.398132</v>
      </c>
      <c r="M40" s="42">
        <f>INDEX('16'!$B$17:$O$85,$E$20+48,$J$20+$C$22*8)</f>
        <v>43.671421</v>
      </c>
      <c r="N40" s="42">
        <f>INDEX('16'!$B$17:$O$85,$E$20+60,$J$20+$C$22*8)</f>
        <v>47.861599</v>
      </c>
      <c r="O40" s="43">
        <f t="shared" si="1"/>
        <v>16</v>
      </c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</row>
    <row r="41" spans="1:15" ht="15">
      <c r="A41" s="41">
        <v>17</v>
      </c>
      <c r="B41" s="68">
        <f>INDEX('17'!$R$17:$W$85,$E$20+12*($A$20-1),B$51)</f>
        <v>-10</v>
      </c>
      <c r="C41" s="68">
        <f>INDEX('17'!$R$17:$W$85,$E$20+12*($A$20-1),C$51)</f>
        <v>-9</v>
      </c>
      <c r="D41" s="68">
        <f>INDEX('17'!$R$17:$W$85,$E$20+12*($A$20-1),D$51)</f>
        <v>-8</v>
      </c>
      <c r="E41" s="68">
        <f>INDEX('17'!$R$17:$W$85,$E$20+12*($A$20-1),E$51)</f>
        <v>-8</v>
      </c>
      <c r="F41" s="68">
        <f>INDEX('17'!$R$17:$W$85,$E$20+12*($A$20-1),F$51)</f>
        <v>-7</v>
      </c>
      <c r="G41" s="68">
        <f>INDEX('17'!$R$17:$W$85,$E$20+12*($A$20-1),G$51)</f>
        <v>-7</v>
      </c>
      <c r="I41" s="42">
        <f>INDEX('17'!$B$17:$O$85,$E$20,$J$20+$C$22*8)</f>
        <v>66</v>
      </c>
      <c r="J41" s="42">
        <f>INDEX('17'!$B$17:$O$85,$E$20+12,$J$20+$C$22*8)</f>
        <v>51</v>
      </c>
      <c r="K41" s="42">
        <f>INDEX('17'!$B$17:$O$85,$E$20+24,$J$20+$C$22*8)</f>
        <v>44</v>
      </c>
      <c r="L41" s="42">
        <f>INDEX('17'!$B$17:$O$85,$E$20+36,$J$20+$C$22*8)</f>
        <v>48</v>
      </c>
      <c r="M41" s="42">
        <f>INDEX('17'!$B$17:$O$85,$E$20+48,$J$20+$C$22*8)</f>
        <v>44</v>
      </c>
      <c r="N41" s="42">
        <f>INDEX('17'!$B$17:$O$85,$E$20+60,$J$20+$C$22*8)</f>
        <v>51</v>
      </c>
      <c r="O41" s="43">
        <f t="shared" si="1"/>
        <v>17</v>
      </c>
    </row>
    <row r="42" spans="1:15" ht="15">
      <c r="A42" s="41">
        <v>18</v>
      </c>
      <c r="B42" s="68">
        <f>INDEX('18'!$R$17:$W$85,$E$20+12*($A$20-1),B$51)</f>
        <v>0</v>
      </c>
      <c r="C42" s="68">
        <f>INDEX('18'!$R$17:$W$85,$E$20+12*($A$20-1),C$51)</f>
        <v>0</v>
      </c>
      <c r="D42" s="68">
        <f>INDEX('18'!$R$17:$W$85,$E$20+12*($A$20-1),D$51)</f>
        <v>0</v>
      </c>
      <c r="E42" s="68">
        <f>INDEX('18'!$R$17:$W$85,$E$20+12*($A$20-1),E$51)</f>
        <v>0</v>
      </c>
      <c r="F42" s="68">
        <f>INDEX('18'!$R$17:$W$85,$E$20+12*($A$20-1),F$51)</f>
        <v>0</v>
      </c>
      <c r="G42" s="68">
        <f>INDEX('18'!$R$17:$W$85,$E$20+12*($A$20-1),G$51)</f>
        <v>0</v>
      </c>
      <c r="I42" s="42">
        <f>INDEX('18'!$B$17:$O$85,$E$20,$J$20+$C$22*8)</f>
        <v>0</v>
      </c>
      <c r="J42" s="42">
        <f>INDEX('18'!$B$17:$O$85,$E$20+12,$J$20+$C$22*8)</f>
        <v>0</v>
      </c>
      <c r="K42" s="42">
        <f>INDEX('18'!$B$17:$O$85,$E$20+24,$J$20+$C$22*8)</f>
        <v>0</v>
      </c>
      <c r="L42" s="42">
        <f>INDEX('18'!$B$17:$O$85,$E$20+36,$J$20+$C$22*8)</f>
        <v>0</v>
      </c>
      <c r="M42" s="42">
        <f>INDEX('18'!$B$17:$O$85,$E$20+48,$J$20+$C$22*8)</f>
        <v>0</v>
      </c>
      <c r="N42" s="42">
        <f>INDEX('18'!$B$17:$O$85,$E$20+60,$J$20+$C$22*8)</f>
        <v>0</v>
      </c>
      <c r="O42" s="43">
        <f t="shared" si="1"/>
        <v>18</v>
      </c>
    </row>
    <row r="43" spans="1:15" ht="15">
      <c r="A43" s="41">
        <v>19</v>
      </c>
      <c r="B43" s="68">
        <f>INDEX('19'!$R$17:$W$85,$E$20+12*($A$20-1),B$51)</f>
        <v>0</v>
      </c>
      <c r="C43" s="68">
        <f>INDEX('19'!$R$17:$W$85,$E$20+12*($A$20-1),C$51)</f>
        <v>0</v>
      </c>
      <c r="D43" s="68">
        <f>INDEX('19'!$R$17:$W$85,$E$20+12*($A$20-1),D$51)</f>
        <v>0</v>
      </c>
      <c r="E43" s="68">
        <f>INDEX('19'!$R$17:$W$85,$E$20+12*($A$20-1),E$51)</f>
        <v>0</v>
      </c>
      <c r="F43" s="68">
        <f>INDEX('19'!$R$17:$W$85,$E$20+12*($A$20-1),F$51)</f>
        <v>0</v>
      </c>
      <c r="G43" s="68">
        <f>INDEX('19'!$R$17:$W$85,$E$20+12*($A$20-1),G$51)</f>
        <v>0</v>
      </c>
      <c r="I43" s="42">
        <f>INDEX('19'!$B$17:$O$85,$E$20,$J$20+$C$22*8)</f>
        <v>0</v>
      </c>
      <c r="J43" s="42">
        <f>INDEX('19'!$B$17:$O$85,$E$20+12,$J$20+$C$22*8)</f>
        <v>0</v>
      </c>
      <c r="K43" s="42">
        <f>INDEX('19'!$B$17:$O$85,$E$20+24,$J$20+$C$22*8)</f>
        <v>0</v>
      </c>
      <c r="L43" s="42">
        <f>INDEX('19'!$B$17:$O$85,$E$20+36,$J$20+$C$22*8)</f>
        <v>0</v>
      </c>
      <c r="M43" s="42">
        <f>INDEX('19'!$B$17:$O$85,$E$20+48,$J$20+$C$22*8)</f>
        <v>0</v>
      </c>
      <c r="N43" s="42">
        <f>INDEX('19'!$B$17:$O$85,$E$20+60,$J$20+$C$22*8)</f>
        <v>0</v>
      </c>
      <c r="O43" s="43">
        <f t="shared" si="1"/>
        <v>19</v>
      </c>
    </row>
    <row r="44" spans="1:15" ht="15">
      <c r="A44" s="41">
        <v>20</v>
      </c>
      <c r="B44" s="68">
        <f>INDEX('20'!$R$17:$W$85,$E$20+12*($A$20-1),B$51)</f>
        <v>-8</v>
      </c>
      <c r="C44" s="68">
        <f>INDEX('20'!$R$17:$W$85,$E$20+12*($A$20-1),C$51)</f>
        <v>-8</v>
      </c>
      <c r="D44" s="68">
        <f>INDEX('20'!$R$17:$W$85,$E$20+12*($A$20-1),D$51)</f>
        <v>-9</v>
      </c>
      <c r="E44" s="68">
        <f>INDEX('20'!$R$17:$W$85,$E$20+12*($A$20-1),E$51)</f>
        <v>-8</v>
      </c>
      <c r="F44" s="68">
        <f>INDEX('20'!$R$17:$W$85,$E$20+12*($A$20-1),F$51)</f>
        <v>-7</v>
      </c>
      <c r="G44" s="68">
        <f>INDEX('20'!$R$17:$W$85,$E$20+12*($A$20-1),G$51)</f>
        <v>-6</v>
      </c>
      <c r="I44" s="42">
        <f>INDEX('20'!$B$17:$O$85,$E$20,$J$20+$C$22*8)</f>
        <v>73</v>
      </c>
      <c r="J44" s="42">
        <f>INDEX('20'!$B$17:$O$85,$E$20+12,$J$20+$C$22*8)</f>
        <v>57</v>
      </c>
      <c r="K44" s="42">
        <f>INDEX('20'!$B$17:$O$85,$E$20+24,$J$20+$C$22*8)</f>
        <v>51</v>
      </c>
      <c r="L44" s="42">
        <f>INDEX('20'!$B$17:$O$85,$E$20+36,$J$20+$C$22*8)</f>
        <v>54</v>
      </c>
      <c r="M44" s="42">
        <f>INDEX('20'!$B$17:$O$85,$E$20+48,$J$20+$C$22*8)</f>
        <v>50</v>
      </c>
      <c r="N44" s="42">
        <f>INDEX('20'!$B$17:$O$85,$E$20+60,$J$20+$C$22*8)</f>
        <v>56</v>
      </c>
      <c r="O44" s="43">
        <f t="shared" si="1"/>
        <v>20</v>
      </c>
    </row>
    <row r="45" spans="1:15" ht="15">
      <c r="A45" s="41">
        <v>21</v>
      </c>
      <c r="B45" s="68">
        <f>INDEX('21'!$R$17:$W$85,$E$20+12*($A$20-1),B$51)</f>
        <v>-9.576666666666675</v>
      </c>
      <c r="C45" s="68">
        <f>INDEX('21'!$R$17:$W$85,$E$20+12*($A$20-1),C$51)</f>
        <v>-9.063333333333333</v>
      </c>
      <c r="D45" s="68">
        <f>INDEX('21'!$R$17:$W$85,$E$20+12*($A$20-1),D$51)</f>
        <v>-9.140000000000008</v>
      </c>
      <c r="E45" s="68">
        <f>INDEX('21'!$R$17:$W$85,$E$20+12*($A$20-1),E$51)</f>
        <v>-8.50666666666666</v>
      </c>
      <c r="F45" s="68">
        <f>INDEX('21'!$R$17:$W$85,$E$20+12*($A$20-1),F$51)</f>
        <v>-8.946666666666665</v>
      </c>
      <c r="G45" s="68">
        <f>INDEX('21'!$R$17:$W$85,$E$20+12*($A$20-1),G$51)</f>
        <v>-7.7733333333333405</v>
      </c>
      <c r="I45" s="42" t="str">
        <f>INDEX('21'!$B$14:$O$82,$E$20,$J$20+$C$22*8)</f>
        <v>S1R1</v>
      </c>
      <c r="J45" s="42" t="str">
        <f>INDEX('21'!$B$14:$O$82,$E$20+12,$J$20+$C$22*8)</f>
        <v>S1R1</v>
      </c>
      <c r="K45" s="42" t="str">
        <f>INDEX('21'!$B$14:$O$82,$E$20+24,$J$20+$C$22*8)</f>
        <v>S1R1</v>
      </c>
      <c r="L45" s="42" t="str">
        <f>INDEX('21'!$B$14:$O$82,$E$20+36,$J$20+$C$22*8)</f>
        <v>S1R1</v>
      </c>
      <c r="M45" s="42" t="str">
        <f>INDEX('21'!$B$14:$O$82,$E$20+48,$J$20+$C$22*8)</f>
        <v>S1R1</v>
      </c>
      <c r="N45" s="42" t="str">
        <f>INDEX('21'!$B$14:$O$82,$E$20+60,$J$20+$C$22*8)</f>
        <v>S1R1</v>
      </c>
      <c r="O45" s="43">
        <f t="shared" si="1"/>
        <v>21</v>
      </c>
    </row>
    <row r="46" spans="1:15" ht="15">
      <c r="A46" s="70" t="s">
        <v>33</v>
      </c>
      <c r="B46" s="71">
        <f aca="true" t="shared" si="2" ref="B46:G46">+AVERAGE(B25:B27,B29:B33,B35:B37,B39:B42,B44:B45)</f>
        <v>-8.984577156862745</v>
      </c>
      <c r="C46" s="71">
        <f t="shared" si="2"/>
        <v>-8.800875960784314</v>
      </c>
      <c r="D46" s="71">
        <f t="shared" si="2"/>
        <v>-9.076085764705883</v>
      </c>
      <c r="E46" s="71">
        <f t="shared" si="2"/>
        <v>-6.501245980392156</v>
      </c>
      <c r="F46" s="71">
        <f t="shared" si="2"/>
        <v>-7.213533627450981</v>
      </c>
      <c r="G46" s="71">
        <f t="shared" si="2"/>
        <v>-6.6257866666666665</v>
      </c>
      <c r="H46" s="71"/>
      <c r="I46" s="71">
        <f aca="true" t="shared" si="3" ref="I46:N46">+AVERAGE(I25:I27,I29:I33,I35:I37,I39:I42,I44:I45)</f>
        <v>58.9081723125</v>
      </c>
      <c r="J46" s="71">
        <f t="shared" si="3"/>
        <v>48.23872899999999</v>
      </c>
      <c r="K46" s="71">
        <f t="shared" si="3"/>
        <v>46.226882374999995</v>
      </c>
      <c r="L46" s="71">
        <f t="shared" si="3"/>
        <v>50.03057075</v>
      </c>
      <c r="M46" s="71">
        <f t="shared" si="3"/>
        <v>46.341026312500006</v>
      </c>
      <c r="N46" s="71">
        <f t="shared" si="3"/>
        <v>51.49816243749999</v>
      </c>
      <c r="O46" s="72" t="str">
        <f t="shared" si="1"/>
        <v>mean</v>
      </c>
    </row>
    <row r="47" spans="1:15" ht="15">
      <c r="A47" s="73" t="s">
        <v>37</v>
      </c>
      <c r="B47" s="74">
        <f aca="true" t="shared" si="4" ref="B47:G47">+STDEV(B25:B27,B29:B33,B35:B37,B39:B42,B44:B45)</f>
        <v>3.075545061203911</v>
      </c>
      <c r="C47" s="74">
        <f t="shared" si="4"/>
        <v>2.7611955721614625</v>
      </c>
      <c r="D47" s="74">
        <f t="shared" si="4"/>
        <v>2.824110488506947</v>
      </c>
      <c r="E47" s="74">
        <f t="shared" si="4"/>
        <v>4.596435580999116</v>
      </c>
      <c r="F47" s="74">
        <f t="shared" si="4"/>
        <v>4.544675355390126</v>
      </c>
      <c r="G47" s="74">
        <f t="shared" si="4"/>
        <v>2.2758174587069937</v>
      </c>
      <c r="H47" s="74"/>
      <c r="I47" s="74">
        <f aca="true" t="shared" si="5" ref="I47:N47">+STDEV(I25:I27,I29:I33,I35:I37,I39:I42,I44:I45)</f>
        <v>16.472876026328816</v>
      </c>
      <c r="J47" s="74">
        <f t="shared" si="5"/>
        <v>13.407459874745994</v>
      </c>
      <c r="K47" s="74">
        <f t="shared" si="5"/>
        <v>13.35157266544174</v>
      </c>
      <c r="L47" s="74">
        <f t="shared" si="5"/>
        <v>14.228856044337794</v>
      </c>
      <c r="M47" s="74">
        <f t="shared" si="5"/>
        <v>13.181940985115846</v>
      </c>
      <c r="N47" s="74">
        <f t="shared" si="5"/>
        <v>14.28207185906078</v>
      </c>
      <c r="O47" s="75" t="str">
        <f t="shared" si="1"/>
        <v>stddev.</v>
      </c>
    </row>
    <row r="48" ht="15">
      <c r="A48" t="s">
        <v>38</v>
      </c>
    </row>
    <row r="50" spans="1:15" ht="15">
      <c r="A50" s="41" t="s">
        <v>34</v>
      </c>
      <c r="B50" s="49">
        <f>INDEX(measurement!$R$17:$W$85,$E$20+12*($A$20-1),B$51)</f>
        <v>-10.259333333333323</v>
      </c>
      <c r="C50" s="49">
        <f>INDEX(measurement!$R$17:$W$85,$E$20+12*($A$20-1),C$51)</f>
        <v>-10.994266666666675</v>
      </c>
      <c r="D50" s="49">
        <f>INDEX(measurement!$R$17:$W$85,$E$20+12*($A$20-1),D$51)</f>
        <v>-12.032866666666663</v>
      </c>
      <c r="E50" s="49">
        <f>INDEX(measurement!$R$17:$W$85,$E$20+12*($A$20-1),E$51)</f>
        <v>-13.595266666666667</v>
      </c>
      <c r="F50" s="49">
        <f>INDEX(measurement!$R$17:$W$85,$E$20+12*($A$20-1),F$51)</f>
        <v>-13.88666666666667</v>
      </c>
      <c r="G50" s="49">
        <f>INDEX(measurement!$R$17:$W$85,$E$20+12*($A$20-1),G$51)</f>
        <v>-12.451599999999978</v>
      </c>
      <c r="I50" s="42">
        <f>INDEX(measurement!$B$17:$P$85,$E$20,$J$20+$C$22*8)</f>
        <v>71.5252</v>
      </c>
      <c r="J50" s="42">
        <f>INDEX(measurement!$B$17:$P$85,$E$20+12,$J$20+$C$22*8)</f>
        <v>51.90946666666666</v>
      </c>
      <c r="K50" s="42">
        <f>INDEX(measurement!$B$17:$P$85,$E$20+24,$J$20+$C$22*8)</f>
        <v>41.87713333333333</v>
      </c>
      <c r="L50" s="42">
        <f>INDEX(measurement!$B$17:$P$85,$E$20+36,$J$20+$C$22*8)</f>
        <v>51.36253333333334</v>
      </c>
      <c r="M50" s="42">
        <f>INDEX(measurement!$B$17:$P$85,$E$20+48,$J$20+$C$22*8)</f>
        <v>51.60666666666667</v>
      </c>
      <c r="N50" s="42">
        <f>INDEX(measurement!$B$17:$P$85,$E$20+60,$J$20+$C$22*8)</f>
        <v>49.82013333333333</v>
      </c>
      <c r="O50" s="43" t="str">
        <f>+A50</f>
        <v>measured</v>
      </c>
    </row>
    <row r="51" spans="2:7" ht="15">
      <c r="B51">
        <v>1</v>
      </c>
      <c r="C51">
        <v>2</v>
      </c>
      <c r="D51">
        <v>3</v>
      </c>
      <c r="E51">
        <v>4</v>
      </c>
      <c r="F51">
        <v>5</v>
      </c>
      <c r="G51">
        <v>6</v>
      </c>
    </row>
  </sheetData>
  <mergeCells count="3">
    <mergeCell ref="B19:C19"/>
    <mergeCell ref="B23:G23"/>
    <mergeCell ref="I23:N23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W93"/>
  <sheetViews>
    <sheetView zoomScale="75" zoomScaleNormal="75" workbookViewId="0" topLeftCell="A1">
      <selection activeCell="F37" sqref="F37"/>
    </sheetView>
  </sheetViews>
  <sheetFormatPr defaultColWidth="11.5546875" defaultRowHeight="15"/>
  <cols>
    <col min="1" max="1" width="7.77734375" style="128" customWidth="1"/>
    <col min="2" max="16" width="6.77734375" style="128" customWidth="1"/>
    <col min="17" max="17" width="11.5546875" style="128" customWidth="1" collapsed="1"/>
    <col min="18" max="23" width="11.5546875" style="128" customWidth="1"/>
    <col min="24" max="16384" width="8.88671875" style="128" customWidth="1"/>
  </cols>
  <sheetData>
    <row r="1" spans="1:10" ht="13.5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2" ht="13.5" thickBot="1">
      <c r="A2" s="3"/>
      <c r="B2" s="4"/>
    </row>
    <row r="5" spans="1:7" ht="12.75">
      <c r="A5" s="150"/>
      <c r="B5" s="151"/>
      <c r="C5" s="151"/>
      <c r="D5" s="152"/>
      <c r="G5" s="150"/>
    </row>
    <row r="6" spans="1:3" ht="12" customHeight="1">
      <c r="A6" s="153"/>
      <c r="B6" s="151"/>
      <c r="C6" s="151"/>
    </row>
    <row r="7" spans="2:3" ht="12.75">
      <c r="B7" s="151"/>
      <c r="C7" s="151"/>
    </row>
    <row r="8" spans="1:3" ht="12.75">
      <c r="A8" s="150"/>
      <c r="B8" s="151"/>
      <c r="C8" s="151"/>
    </row>
    <row r="9" spans="1:3" ht="12.75">
      <c r="A9" s="150"/>
      <c r="B9" s="151"/>
      <c r="C9" s="151"/>
    </row>
    <row r="13" spans="1:3" ht="12.75">
      <c r="A13" s="150"/>
      <c r="B13" s="151"/>
      <c r="C13" s="151"/>
    </row>
    <row r="14" ht="12.75">
      <c r="Q14" s="128" t="s">
        <v>32</v>
      </c>
    </row>
    <row r="15" spans="1:18" ht="12.75">
      <c r="A15" s="155"/>
      <c r="B15" s="156"/>
      <c r="E15" s="136"/>
      <c r="F15" s="136"/>
      <c r="G15" s="136"/>
      <c r="H15" s="136"/>
      <c r="I15" s="155"/>
      <c r="J15" s="156"/>
      <c r="M15" s="136"/>
      <c r="N15" s="136"/>
      <c r="O15" s="136"/>
      <c r="Q15" s="128">
        <f>+A15</f>
        <v>0</v>
      </c>
      <c r="R15" s="128">
        <f>+B15</f>
        <v>0</v>
      </c>
    </row>
    <row r="16" spans="1:23" ht="12.75">
      <c r="A16" s="142"/>
      <c r="B16" s="140"/>
      <c r="C16" s="140"/>
      <c r="D16" s="139"/>
      <c r="E16" s="139"/>
      <c r="F16" s="140"/>
      <c r="G16" s="139"/>
      <c r="H16" s="141"/>
      <c r="I16" s="142"/>
      <c r="J16" s="140"/>
      <c r="K16" s="140"/>
      <c r="L16" s="139"/>
      <c r="M16" s="139"/>
      <c r="N16" s="140"/>
      <c r="O16" s="139"/>
      <c r="Q16" s="128">
        <f>+A16</f>
        <v>0</v>
      </c>
      <c r="R16" s="128">
        <f>+B16</f>
        <v>0</v>
      </c>
      <c r="S16" s="128">
        <f>+C16</f>
        <v>0</v>
      </c>
      <c r="T16" s="128">
        <f>+D16</f>
        <v>0</v>
      </c>
      <c r="U16" s="128">
        <f>+E16</f>
        <v>0</v>
      </c>
      <c r="V16" s="128">
        <f>+F16</f>
        <v>0</v>
      </c>
      <c r="W16" s="128">
        <f>+G16</f>
        <v>0</v>
      </c>
    </row>
    <row r="17" spans="1:23" ht="12.75">
      <c r="A17" s="130"/>
      <c r="B17" s="145"/>
      <c r="C17" s="143"/>
      <c r="D17" s="143"/>
      <c r="E17" s="125"/>
      <c r="F17" s="143"/>
      <c r="G17" s="144"/>
      <c r="H17" s="125"/>
      <c r="I17" s="130"/>
      <c r="J17" s="194"/>
      <c r="K17" s="194"/>
      <c r="L17" s="194"/>
      <c r="M17" s="210"/>
      <c r="N17" s="211"/>
      <c r="O17" s="212"/>
      <c r="Q17" s="128">
        <f aca="true" t="shared" si="0" ref="Q17:Q25">+A17</f>
        <v>0</v>
      </c>
      <c r="R17" s="127">
        <f aca="true" t="shared" si="1" ref="R17:W25">+B17-J17</f>
        <v>0</v>
      </c>
      <c r="S17" s="127">
        <f t="shared" si="1"/>
        <v>0</v>
      </c>
      <c r="T17" s="127">
        <f t="shared" si="1"/>
        <v>0</v>
      </c>
      <c r="U17" s="127">
        <f t="shared" si="1"/>
        <v>0</v>
      </c>
      <c r="V17" s="127">
        <f t="shared" si="1"/>
        <v>0</v>
      </c>
      <c r="W17" s="127">
        <f t="shared" si="1"/>
        <v>0</v>
      </c>
    </row>
    <row r="18" spans="1:23" ht="12.75">
      <c r="A18" s="130"/>
      <c r="B18" s="131"/>
      <c r="C18" s="125"/>
      <c r="D18" s="125"/>
      <c r="E18" s="125"/>
      <c r="F18" s="125"/>
      <c r="G18" s="129"/>
      <c r="H18" s="125"/>
      <c r="I18" s="130"/>
      <c r="J18" s="194"/>
      <c r="K18" s="194"/>
      <c r="L18" s="194"/>
      <c r="M18" s="126"/>
      <c r="N18" s="213"/>
      <c r="O18" s="214"/>
      <c r="P18" s="157"/>
      <c r="Q18" s="128">
        <f t="shared" si="0"/>
        <v>0</v>
      </c>
      <c r="R18" s="127">
        <f t="shared" si="1"/>
        <v>0</v>
      </c>
      <c r="S18" s="127">
        <f t="shared" si="1"/>
        <v>0</v>
      </c>
      <c r="T18" s="127">
        <f t="shared" si="1"/>
        <v>0</v>
      </c>
      <c r="U18" s="127">
        <f t="shared" si="1"/>
        <v>0</v>
      </c>
      <c r="V18" s="127">
        <f t="shared" si="1"/>
        <v>0</v>
      </c>
      <c r="W18" s="127">
        <f t="shared" si="1"/>
        <v>0</v>
      </c>
    </row>
    <row r="19" spans="1:23" ht="12.75">
      <c r="A19" s="130"/>
      <c r="B19" s="131"/>
      <c r="C19" s="125"/>
      <c r="D19" s="125"/>
      <c r="E19" s="125"/>
      <c r="F19" s="125"/>
      <c r="G19" s="129"/>
      <c r="H19" s="125"/>
      <c r="I19" s="130"/>
      <c r="J19" s="194"/>
      <c r="K19" s="194"/>
      <c r="L19" s="194"/>
      <c r="M19" s="210"/>
      <c r="N19" s="213"/>
      <c r="O19" s="214"/>
      <c r="P19" s="158"/>
      <c r="Q19" s="128">
        <f t="shared" si="0"/>
        <v>0</v>
      </c>
      <c r="R19" s="127">
        <f t="shared" si="1"/>
        <v>0</v>
      </c>
      <c r="S19" s="127">
        <f t="shared" si="1"/>
        <v>0</v>
      </c>
      <c r="T19" s="127">
        <f t="shared" si="1"/>
        <v>0</v>
      </c>
      <c r="U19" s="127">
        <f t="shared" si="1"/>
        <v>0</v>
      </c>
      <c r="V19" s="127">
        <f t="shared" si="1"/>
        <v>0</v>
      </c>
      <c r="W19" s="127">
        <f t="shared" si="1"/>
        <v>0</v>
      </c>
    </row>
    <row r="20" spans="1:23" ht="12.75">
      <c r="A20" s="130"/>
      <c r="B20" s="131"/>
      <c r="C20" s="125"/>
      <c r="D20" s="125"/>
      <c r="E20" s="125"/>
      <c r="F20" s="125"/>
      <c r="G20" s="129"/>
      <c r="H20" s="125"/>
      <c r="I20" s="130"/>
      <c r="J20" s="194"/>
      <c r="K20" s="194"/>
      <c r="L20" s="194"/>
      <c r="M20" s="210"/>
      <c r="N20" s="213"/>
      <c r="O20" s="214"/>
      <c r="P20" s="158"/>
      <c r="Q20" s="128">
        <f t="shared" si="0"/>
        <v>0</v>
      </c>
      <c r="R20" s="127">
        <f t="shared" si="1"/>
        <v>0</v>
      </c>
      <c r="S20" s="127">
        <f t="shared" si="1"/>
        <v>0</v>
      </c>
      <c r="T20" s="127">
        <f t="shared" si="1"/>
        <v>0</v>
      </c>
      <c r="U20" s="127">
        <f t="shared" si="1"/>
        <v>0</v>
      </c>
      <c r="V20" s="127">
        <f t="shared" si="1"/>
        <v>0</v>
      </c>
      <c r="W20" s="127">
        <f t="shared" si="1"/>
        <v>0</v>
      </c>
    </row>
    <row r="21" spans="1:23" ht="12.75">
      <c r="A21" s="130"/>
      <c r="B21" s="131"/>
      <c r="C21" s="125"/>
      <c r="D21" s="125"/>
      <c r="E21" s="125"/>
      <c r="F21" s="125"/>
      <c r="G21" s="129"/>
      <c r="H21" s="125"/>
      <c r="I21" s="130"/>
      <c r="J21" s="194"/>
      <c r="K21" s="194"/>
      <c r="L21" s="194"/>
      <c r="M21" s="210"/>
      <c r="N21" s="213"/>
      <c r="O21" s="214"/>
      <c r="P21" s="158"/>
      <c r="Q21" s="128">
        <f t="shared" si="0"/>
        <v>0</v>
      </c>
      <c r="R21" s="127">
        <f t="shared" si="1"/>
        <v>0</v>
      </c>
      <c r="S21" s="127">
        <f t="shared" si="1"/>
        <v>0</v>
      </c>
      <c r="T21" s="127">
        <f t="shared" si="1"/>
        <v>0</v>
      </c>
      <c r="U21" s="127">
        <f t="shared" si="1"/>
        <v>0</v>
      </c>
      <c r="V21" s="127">
        <f t="shared" si="1"/>
        <v>0</v>
      </c>
      <c r="W21" s="127">
        <f t="shared" si="1"/>
        <v>0</v>
      </c>
    </row>
    <row r="22" spans="1:23" ht="12.75">
      <c r="A22" s="130"/>
      <c r="B22" s="131"/>
      <c r="C22" s="125"/>
      <c r="D22" s="125"/>
      <c r="E22" s="125"/>
      <c r="F22" s="125"/>
      <c r="G22" s="129"/>
      <c r="H22" s="125"/>
      <c r="I22" s="130"/>
      <c r="J22" s="194"/>
      <c r="K22" s="194"/>
      <c r="L22" s="194"/>
      <c r="M22" s="210"/>
      <c r="N22" s="213"/>
      <c r="O22" s="214"/>
      <c r="P22" s="158"/>
      <c r="Q22" s="128">
        <f t="shared" si="0"/>
        <v>0</v>
      </c>
      <c r="R22" s="127">
        <f t="shared" si="1"/>
        <v>0</v>
      </c>
      <c r="S22" s="127">
        <f t="shared" si="1"/>
        <v>0</v>
      </c>
      <c r="T22" s="127">
        <f t="shared" si="1"/>
        <v>0</v>
      </c>
      <c r="U22" s="127">
        <f t="shared" si="1"/>
        <v>0</v>
      </c>
      <c r="V22" s="127">
        <f t="shared" si="1"/>
        <v>0</v>
      </c>
      <c r="W22" s="127">
        <f t="shared" si="1"/>
        <v>0</v>
      </c>
    </row>
    <row r="23" spans="1:23" ht="12.75">
      <c r="A23" s="130"/>
      <c r="B23" s="131"/>
      <c r="C23" s="125"/>
      <c r="D23" s="125"/>
      <c r="E23" s="125"/>
      <c r="F23" s="125"/>
      <c r="G23" s="129"/>
      <c r="H23" s="125"/>
      <c r="I23" s="130"/>
      <c r="J23" s="194"/>
      <c r="K23" s="194"/>
      <c r="L23" s="194"/>
      <c r="M23" s="210"/>
      <c r="N23" s="213"/>
      <c r="O23" s="214"/>
      <c r="P23" s="158"/>
      <c r="Q23" s="128">
        <f t="shared" si="0"/>
        <v>0</v>
      </c>
      <c r="R23" s="127">
        <f t="shared" si="1"/>
        <v>0</v>
      </c>
      <c r="S23" s="127">
        <f t="shared" si="1"/>
        <v>0</v>
      </c>
      <c r="T23" s="127">
        <f t="shared" si="1"/>
        <v>0</v>
      </c>
      <c r="U23" s="127">
        <f t="shared" si="1"/>
        <v>0</v>
      </c>
      <c r="V23" s="127">
        <f t="shared" si="1"/>
        <v>0</v>
      </c>
      <c r="W23" s="127">
        <f t="shared" si="1"/>
        <v>0</v>
      </c>
    </row>
    <row r="24" spans="1:23" ht="12.75">
      <c r="A24" s="130"/>
      <c r="B24" s="131"/>
      <c r="C24" s="125"/>
      <c r="D24" s="125"/>
      <c r="E24" s="125"/>
      <c r="F24" s="125"/>
      <c r="G24" s="129"/>
      <c r="H24" s="125"/>
      <c r="I24" s="130"/>
      <c r="J24" s="194"/>
      <c r="K24" s="194"/>
      <c r="L24" s="194"/>
      <c r="M24" s="210"/>
      <c r="N24" s="213"/>
      <c r="O24" s="214"/>
      <c r="P24" s="158"/>
      <c r="Q24" s="128">
        <f t="shared" si="0"/>
        <v>0</v>
      </c>
      <c r="R24" s="127">
        <f t="shared" si="1"/>
        <v>0</v>
      </c>
      <c r="S24" s="127">
        <f t="shared" si="1"/>
        <v>0</v>
      </c>
      <c r="T24" s="127">
        <f t="shared" si="1"/>
        <v>0</v>
      </c>
      <c r="U24" s="127">
        <f t="shared" si="1"/>
        <v>0</v>
      </c>
      <c r="V24" s="127">
        <f t="shared" si="1"/>
        <v>0</v>
      </c>
      <c r="W24" s="127">
        <f t="shared" si="1"/>
        <v>0</v>
      </c>
    </row>
    <row r="25" spans="1:23" ht="12.75">
      <c r="A25" s="134"/>
      <c r="B25" s="135"/>
      <c r="C25" s="132"/>
      <c r="D25" s="132"/>
      <c r="E25" s="132"/>
      <c r="F25" s="132"/>
      <c r="G25" s="133"/>
      <c r="H25" s="125"/>
      <c r="I25" s="134"/>
      <c r="J25" s="215"/>
      <c r="K25" s="216"/>
      <c r="L25" s="216"/>
      <c r="M25" s="216"/>
      <c r="N25" s="132"/>
      <c r="O25" s="133"/>
      <c r="Q25" s="128">
        <f t="shared" si="0"/>
        <v>0</v>
      </c>
      <c r="R25" s="127">
        <f t="shared" si="1"/>
        <v>0</v>
      </c>
      <c r="S25" s="127">
        <f t="shared" si="1"/>
        <v>0</v>
      </c>
      <c r="T25" s="127">
        <f t="shared" si="1"/>
        <v>0</v>
      </c>
      <c r="U25" s="127">
        <f t="shared" si="1"/>
        <v>0</v>
      </c>
      <c r="V25" s="127">
        <f t="shared" si="1"/>
        <v>0</v>
      </c>
      <c r="W25" s="127">
        <f t="shared" si="1"/>
        <v>0</v>
      </c>
    </row>
    <row r="26" spans="5:15" ht="12.75">
      <c r="E26" s="136"/>
      <c r="F26" s="136"/>
      <c r="G26" s="136"/>
      <c r="H26" s="136"/>
      <c r="M26" s="136"/>
      <c r="N26" s="136"/>
      <c r="O26" s="136"/>
    </row>
    <row r="27" spans="1:18" ht="12.75">
      <c r="A27" s="155"/>
      <c r="B27" s="156"/>
      <c r="E27" s="136"/>
      <c r="F27" s="136"/>
      <c r="G27" s="136"/>
      <c r="H27" s="136"/>
      <c r="I27" s="155"/>
      <c r="J27" s="156"/>
      <c r="M27" s="136"/>
      <c r="N27" s="136"/>
      <c r="O27" s="136"/>
      <c r="Q27" s="128">
        <f>+A27</f>
        <v>0</v>
      </c>
      <c r="R27" s="128">
        <f>+B27</f>
        <v>0</v>
      </c>
    </row>
    <row r="28" spans="1:23" ht="12.75">
      <c r="A28" s="142"/>
      <c r="B28" s="140"/>
      <c r="C28" s="140"/>
      <c r="D28" s="139"/>
      <c r="E28" s="139"/>
      <c r="F28" s="140"/>
      <c r="G28" s="139"/>
      <c r="H28" s="141"/>
      <c r="I28" s="142"/>
      <c r="J28" s="140"/>
      <c r="K28" s="140"/>
      <c r="L28" s="139"/>
      <c r="M28" s="139"/>
      <c r="N28" s="140"/>
      <c r="O28" s="139"/>
      <c r="Q28" s="128">
        <f>+A28</f>
        <v>0</v>
      </c>
      <c r="R28" s="128">
        <f>+B28</f>
        <v>0</v>
      </c>
      <c r="S28" s="128">
        <f>+C28</f>
        <v>0</v>
      </c>
      <c r="T28" s="128">
        <f>+D28</f>
        <v>0</v>
      </c>
      <c r="U28" s="128">
        <f>+E28</f>
        <v>0</v>
      </c>
      <c r="V28" s="128">
        <f>+F28</f>
        <v>0</v>
      </c>
      <c r="W28" s="128">
        <f>+G28</f>
        <v>0</v>
      </c>
    </row>
    <row r="29" spans="1:23" ht="12.75">
      <c r="A29" s="130"/>
      <c r="B29" s="145"/>
      <c r="C29" s="143"/>
      <c r="D29" s="143"/>
      <c r="E29" s="125"/>
      <c r="F29" s="143"/>
      <c r="G29" s="144"/>
      <c r="H29" s="125"/>
      <c r="I29" s="130"/>
      <c r="J29" s="145"/>
      <c r="K29" s="143"/>
      <c r="L29" s="143"/>
      <c r="M29" s="125"/>
      <c r="N29" s="143"/>
      <c r="O29" s="144"/>
      <c r="Q29" s="128">
        <f aca="true" t="shared" si="2" ref="Q29:Q37">+A29</f>
        <v>0</v>
      </c>
      <c r="R29" s="127">
        <f aca="true" t="shared" si="3" ref="R29:W37">+B29-J29</f>
        <v>0</v>
      </c>
      <c r="S29" s="127">
        <f t="shared" si="3"/>
        <v>0</v>
      </c>
      <c r="T29" s="127">
        <f t="shared" si="3"/>
        <v>0</v>
      </c>
      <c r="U29" s="127">
        <f t="shared" si="3"/>
        <v>0</v>
      </c>
      <c r="V29" s="127">
        <f t="shared" si="3"/>
        <v>0</v>
      </c>
      <c r="W29" s="127">
        <f t="shared" si="3"/>
        <v>0</v>
      </c>
    </row>
    <row r="30" spans="1:23" ht="12.75">
      <c r="A30" s="130"/>
      <c r="B30" s="131"/>
      <c r="C30" s="125"/>
      <c r="D30" s="125"/>
      <c r="E30" s="125"/>
      <c r="F30" s="125"/>
      <c r="G30" s="129"/>
      <c r="H30" s="125"/>
      <c r="I30" s="130"/>
      <c r="J30" s="131"/>
      <c r="K30" s="125"/>
      <c r="L30" s="125"/>
      <c r="M30" s="125"/>
      <c r="N30" s="125"/>
      <c r="O30" s="129"/>
      <c r="Q30" s="128">
        <f t="shared" si="2"/>
        <v>0</v>
      </c>
      <c r="R30" s="127">
        <f t="shared" si="3"/>
        <v>0</v>
      </c>
      <c r="S30" s="127">
        <f t="shared" si="3"/>
        <v>0</v>
      </c>
      <c r="T30" s="127">
        <f t="shared" si="3"/>
        <v>0</v>
      </c>
      <c r="U30" s="127">
        <f t="shared" si="3"/>
        <v>0</v>
      </c>
      <c r="V30" s="127">
        <f t="shared" si="3"/>
        <v>0</v>
      </c>
      <c r="W30" s="127">
        <f t="shared" si="3"/>
        <v>0</v>
      </c>
    </row>
    <row r="31" spans="1:23" ht="12.75">
      <c r="A31" s="130"/>
      <c r="B31" s="131"/>
      <c r="C31" s="125"/>
      <c r="D31" s="125"/>
      <c r="E31" s="125"/>
      <c r="F31" s="125"/>
      <c r="G31" s="129"/>
      <c r="H31" s="125"/>
      <c r="I31" s="130"/>
      <c r="J31" s="131"/>
      <c r="K31" s="125"/>
      <c r="L31" s="125"/>
      <c r="M31" s="125"/>
      <c r="N31" s="125"/>
      <c r="O31" s="129"/>
      <c r="Q31" s="128">
        <f t="shared" si="2"/>
        <v>0</v>
      </c>
      <c r="R31" s="127">
        <f t="shared" si="3"/>
        <v>0</v>
      </c>
      <c r="S31" s="127">
        <f t="shared" si="3"/>
        <v>0</v>
      </c>
      <c r="T31" s="127">
        <f t="shared" si="3"/>
        <v>0</v>
      </c>
      <c r="U31" s="127">
        <f t="shared" si="3"/>
        <v>0</v>
      </c>
      <c r="V31" s="127">
        <f t="shared" si="3"/>
        <v>0</v>
      </c>
      <c r="W31" s="127">
        <f t="shared" si="3"/>
        <v>0</v>
      </c>
    </row>
    <row r="32" spans="1:23" ht="12.75">
      <c r="A32" s="130"/>
      <c r="B32" s="131"/>
      <c r="C32" s="125"/>
      <c r="D32" s="125"/>
      <c r="E32" s="125"/>
      <c r="F32" s="125"/>
      <c r="G32" s="129"/>
      <c r="H32" s="125"/>
      <c r="I32" s="130"/>
      <c r="J32" s="131"/>
      <c r="K32" s="125"/>
      <c r="L32" s="125"/>
      <c r="M32" s="125"/>
      <c r="N32" s="125"/>
      <c r="O32" s="129"/>
      <c r="Q32" s="128">
        <f t="shared" si="2"/>
        <v>0</v>
      </c>
      <c r="R32" s="127">
        <f t="shared" si="3"/>
        <v>0</v>
      </c>
      <c r="S32" s="127">
        <f t="shared" si="3"/>
        <v>0</v>
      </c>
      <c r="T32" s="127">
        <f t="shared" si="3"/>
        <v>0</v>
      </c>
      <c r="U32" s="127">
        <f t="shared" si="3"/>
        <v>0</v>
      </c>
      <c r="V32" s="127">
        <f t="shared" si="3"/>
        <v>0</v>
      </c>
      <c r="W32" s="127">
        <f t="shared" si="3"/>
        <v>0</v>
      </c>
    </row>
    <row r="33" spans="1:23" ht="12.75">
      <c r="A33" s="130"/>
      <c r="B33" s="131"/>
      <c r="C33" s="125"/>
      <c r="D33" s="125"/>
      <c r="E33" s="125"/>
      <c r="F33" s="125"/>
      <c r="G33" s="129"/>
      <c r="H33" s="125"/>
      <c r="I33" s="130"/>
      <c r="J33" s="131"/>
      <c r="K33" s="125"/>
      <c r="L33" s="125"/>
      <c r="M33" s="125"/>
      <c r="N33" s="125"/>
      <c r="O33" s="129"/>
      <c r="Q33" s="128">
        <f t="shared" si="2"/>
        <v>0</v>
      </c>
      <c r="R33" s="127">
        <f t="shared" si="3"/>
        <v>0</v>
      </c>
      <c r="S33" s="127">
        <f t="shared" si="3"/>
        <v>0</v>
      </c>
      <c r="T33" s="127">
        <f t="shared" si="3"/>
        <v>0</v>
      </c>
      <c r="U33" s="127">
        <f t="shared" si="3"/>
        <v>0</v>
      </c>
      <c r="V33" s="127">
        <f t="shared" si="3"/>
        <v>0</v>
      </c>
      <c r="W33" s="127">
        <f t="shared" si="3"/>
        <v>0</v>
      </c>
    </row>
    <row r="34" spans="1:23" ht="12.75">
      <c r="A34" s="130"/>
      <c r="B34" s="131"/>
      <c r="C34" s="125"/>
      <c r="D34" s="125"/>
      <c r="E34" s="125"/>
      <c r="F34" s="125"/>
      <c r="G34" s="129"/>
      <c r="H34" s="125"/>
      <c r="I34" s="130"/>
      <c r="J34" s="131"/>
      <c r="K34" s="125"/>
      <c r="L34" s="125"/>
      <c r="M34" s="125"/>
      <c r="N34" s="125"/>
      <c r="O34" s="129"/>
      <c r="Q34" s="128">
        <f t="shared" si="2"/>
        <v>0</v>
      </c>
      <c r="R34" s="127">
        <f t="shared" si="3"/>
        <v>0</v>
      </c>
      <c r="S34" s="127">
        <f t="shared" si="3"/>
        <v>0</v>
      </c>
      <c r="T34" s="127">
        <f t="shared" si="3"/>
        <v>0</v>
      </c>
      <c r="U34" s="127">
        <f t="shared" si="3"/>
        <v>0</v>
      </c>
      <c r="V34" s="127">
        <f t="shared" si="3"/>
        <v>0</v>
      </c>
      <c r="W34" s="127">
        <f t="shared" si="3"/>
        <v>0</v>
      </c>
    </row>
    <row r="35" spans="1:23" ht="12.75">
      <c r="A35" s="130"/>
      <c r="B35" s="131"/>
      <c r="C35" s="125"/>
      <c r="D35" s="125"/>
      <c r="E35" s="125"/>
      <c r="F35" s="125"/>
      <c r="G35" s="129"/>
      <c r="H35" s="125"/>
      <c r="I35" s="130"/>
      <c r="J35" s="131"/>
      <c r="K35" s="125"/>
      <c r="L35" s="125"/>
      <c r="M35" s="125"/>
      <c r="N35" s="125"/>
      <c r="O35" s="129"/>
      <c r="Q35" s="128">
        <f t="shared" si="2"/>
        <v>0</v>
      </c>
      <c r="R35" s="127">
        <f t="shared" si="3"/>
        <v>0</v>
      </c>
      <c r="S35" s="127">
        <f t="shared" si="3"/>
        <v>0</v>
      </c>
      <c r="T35" s="127">
        <f t="shared" si="3"/>
        <v>0</v>
      </c>
      <c r="U35" s="127">
        <f t="shared" si="3"/>
        <v>0</v>
      </c>
      <c r="V35" s="127">
        <f t="shared" si="3"/>
        <v>0</v>
      </c>
      <c r="W35" s="127">
        <f t="shared" si="3"/>
        <v>0</v>
      </c>
    </row>
    <row r="36" spans="1:23" ht="12.75">
      <c r="A36" s="130"/>
      <c r="B36" s="131"/>
      <c r="C36" s="125"/>
      <c r="D36" s="125"/>
      <c r="E36" s="125"/>
      <c r="F36" s="125"/>
      <c r="G36" s="129"/>
      <c r="H36" s="125"/>
      <c r="I36" s="130"/>
      <c r="J36" s="131"/>
      <c r="K36" s="125"/>
      <c r="L36" s="125"/>
      <c r="M36" s="125"/>
      <c r="N36" s="125"/>
      <c r="O36" s="129"/>
      <c r="Q36" s="128">
        <f t="shared" si="2"/>
        <v>0</v>
      </c>
      <c r="R36" s="127">
        <f t="shared" si="3"/>
        <v>0</v>
      </c>
      <c r="S36" s="127">
        <f t="shared" si="3"/>
        <v>0</v>
      </c>
      <c r="T36" s="127">
        <f t="shared" si="3"/>
        <v>0</v>
      </c>
      <c r="U36" s="127">
        <f t="shared" si="3"/>
        <v>0</v>
      </c>
      <c r="V36" s="127">
        <f t="shared" si="3"/>
        <v>0</v>
      </c>
      <c r="W36" s="127">
        <f t="shared" si="3"/>
        <v>0</v>
      </c>
    </row>
    <row r="37" spans="1:23" ht="12.75">
      <c r="A37" s="134"/>
      <c r="B37" s="135"/>
      <c r="C37" s="132"/>
      <c r="D37" s="132"/>
      <c r="E37" s="132"/>
      <c r="F37" s="132"/>
      <c r="G37" s="133"/>
      <c r="H37" s="125"/>
      <c r="I37" s="134"/>
      <c r="J37" s="135"/>
      <c r="K37" s="132"/>
      <c r="L37" s="132"/>
      <c r="M37" s="132"/>
      <c r="N37" s="132"/>
      <c r="O37" s="133"/>
      <c r="Q37" s="128">
        <f t="shared" si="2"/>
        <v>0</v>
      </c>
      <c r="R37" s="127">
        <f t="shared" si="3"/>
        <v>0</v>
      </c>
      <c r="S37" s="127">
        <f t="shared" si="3"/>
        <v>0</v>
      </c>
      <c r="T37" s="127">
        <f t="shared" si="3"/>
        <v>0</v>
      </c>
      <c r="U37" s="127">
        <f t="shared" si="3"/>
        <v>0</v>
      </c>
      <c r="V37" s="127">
        <f t="shared" si="3"/>
        <v>0</v>
      </c>
      <c r="W37" s="127">
        <f t="shared" si="3"/>
        <v>0</v>
      </c>
    </row>
    <row r="38" spans="5:15" ht="12.75">
      <c r="E38" s="136"/>
      <c r="F38" s="136"/>
      <c r="G38" s="136"/>
      <c r="H38" s="136"/>
      <c r="M38" s="136"/>
      <c r="N38" s="136"/>
      <c r="O38" s="136"/>
    </row>
    <row r="39" spans="1:18" ht="12.75">
      <c r="A39" s="155"/>
      <c r="B39" s="156"/>
      <c r="E39" s="136"/>
      <c r="F39" s="136"/>
      <c r="G39" s="136"/>
      <c r="H39" s="136"/>
      <c r="I39" s="155"/>
      <c r="J39" s="156"/>
      <c r="M39" s="136"/>
      <c r="N39" s="136"/>
      <c r="O39" s="136"/>
      <c r="Q39" s="128">
        <f>+A39</f>
        <v>0</v>
      </c>
      <c r="R39" s="128">
        <f>+B39</f>
        <v>0</v>
      </c>
    </row>
    <row r="40" spans="1:23" ht="12.75">
      <c r="A40" s="142"/>
      <c r="B40" s="140"/>
      <c r="C40" s="140"/>
      <c r="D40" s="139"/>
      <c r="E40" s="139"/>
      <c r="F40" s="140"/>
      <c r="G40" s="139"/>
      <c r="H40" s="141"/>
      <c r="I40" s="142"/>
      <c r="J40" s="140"/>
      <c r="K40" s="140"/>
      <c r="L40" s="139"/>
      <c r="M40" s="139"/>
      <c r="N40" s="140"/>
      <c r="O40" s="139"/>
      <c r="Q40" s="128">
        <f>+A40</f>
        <v>0</v>
      </c>
      <c r="R40" s="128">
        <f>+B40</f>
        <v>0</v>
      </c>
      <c r="S40" s="128">
        <f>+C40</f>
        <v>0</v>
      </c>
      <c r="T40" s="128">
        <f>+D40</f>
        <v>0</v>
      </c>
      <c r="U40" s="128">
        <f>+E40</f>
        <v>0</v>
      </c>
      <c r="V40" s="128">
        <f>+F40</f>
        <v>0</v>
      </c>
      <c r="W40" s="128">
        <f>+G40</f>
        <v>0</v>
      </c>
    </row>
    <row r="41" spans="1:23" ht="12.75">
      <c r="A41" s="130"/>
      <c r="B41" s="145"/>
      <c r="C41" s="143"/>
      <c r="D41" s="143"/>
      <c r="E41" s="125"/>
      <c r="F41" s="143"/>
      <c r="G41" s="144"/>
      <c r="H41" s="125"/>
      <c r="I41" s="130"/>
      <c r="J41" s="145"/>
      <c r="K41" s="143"/>
      <c r="L41" s="143"/>
      <c r="M41" s="125"/>
      <c r="N41" s="143"/>
      <c r="O41" s="144"/>
      <c r="Q41" s="128">
        <f aca="true" t="shared" si="4" ref="Q41:Q49">+A41</f>
        <v>0</v>
      </c>
      <c r="R41" s="127">
        <f aca="true" t="shared" si="5" ref="R41:W49">+B41-J41</f>
        <v>0</v>
      </c>
      <c r="S41" s="127">
        <f t="shared" si="5"/>
        <v>0</v>
      </c>
      <c r="T41" s="127">
        <f t="shared" si="5"/>
        <v>0</v>
      </c>
      <c r="U41" s="127">
        <f t="shared" si="5"/>
        <v>0</v>
      </c>
      <c r="V41" s="127">
        <f t="shared" si="5"/>
        <v>0</v>
      </c>
      <c r="W41" s="127">
        <f t="shared" si="5"/>
        <v>0</v>
      </c>
    </row>
    <row r="42" spans="1:23" ht="12.75">
      <c r="A42" s="130"/>
      <c r="B42" s="131"/>
      <c r="C42" s="125"/>
      <c r="D42" s="125"/>
      <c r="E42" s="125"/>
      <c r="F42" s="125"/>
      <c r="G42" s="129"/>
      <c r="H42" s="125"/>
      <c r="I42" s="130"/>
      <c r="J42" s="131"/>
      <c r="K42" s="125"/>
      <c r="L42" s="125"/>
      <c r="M42" s="125"/>
      <c r="N42" s="125"/>
      <c r="O42" s="129"/>
      <c r="Q42" s="128">
        <f t="shared" si="4"/>
        <v>0</v>
      </c>
      <c r="R42" s="127">
        <f t="shared" si="5"/>
        <v>0</v>
      </c>
      <c r="S42" s="127">
        <f t="shared" si="5"/>
        <v>0</v>
      </c>
      <c r="T42" s="127">
        <f t="shared" si="5"/>
        <v>0</v>
      </c>
      <c r="U42" s="127">
        <f t="shared" si="5"/>
        <v>0</v>
      </c>
      <c r="V42" s="127">
        <f t="shared" si="5"/>
        <v>0</v>
      </c>
      <c r="W42" s="127">
        <f t="shared" si="5"/>
        <v>0</v>
      </c>
    </row>
    <row r="43" spans="1:23" ht="12.75">
      <c r="A43" s="130"/>
      <c r="B43" s="131"/>
      <c r="C43" s="125"/>
      <c r="D43" s="125"/>
      <c r="E43" s="125"/>
      <c r="F43" s="125"/>
      <c r="G43" s="129"/>
      <c r="H43" s="125"/>
      <c r="I43" s="130"/>
      <c r="J43" s="131"/>
      <c r="K43" s="125"/>
      <c r="L43" s="125"/>
      <c r="M43" s="125"/>
      <c r="N43" s="125"/>
      <c r="O43" s="129"/>
      <c r="Q43" s="128">
        <f t="shared" si="4"/>
        <v>0</v>
      </c>
      <c r="R43" s="127">
        <f t="shared" si="5"/>
        <v>0</v>
      </c>
      <c r="S43" s="127">
        <f t="shared" si="5"/>
        <v>0</v>
      </c>
      <c r="T43" s="127">
        <f t="shared" si="5"/>
        <v>0</v>
      </c>
      <c r="U43" s="127">
        <f t="shared" si="5"/>
        <v>0</v>
      </c>
      <c r="V43" s="127">
        <f t="shared" si="5"/>
        <v>0</v>
      </c>
      <c r="W43" s="127">
        <f t="shared" si="5"/>
        <v>0</v>
      </c>
    </row>
    <row r="44" spans="1:23" ht="12.75">
      <c r="A44" s="130"/>
      <c r="B44" s="131"/>
      <c r="C44" s="125"/>
      <c r="D44" s="125"/>
      <c r="E44" s="125"/>
      <c r="F44" s="125"/>
      <c r="G44" s="129"/>
      <c r="H44" s="125"/>
      <c r="I44" s="130"/>
      <c r="J44" s="131"/>
      <c r="K44" s="125"/>
      <c r="L44" s="125"/>
      <c r="M44" s="125"/>
      <c r="N44" s="125"/>
      <c r="O44" s="129"/>
      <c r="Q44" s="128">
        <f t="shared" si="4"/>
        <v>0</v>
      </c>
      <c r="R44" s="127">
        <f t="shared" si="5"/>
        <v>0</v>
      </c>
      <c r="S44" s="127">
        <f t="shared" si="5"/>
        <v>0</v>
      </c>
      <c r="T44" s="127">
        <f t="shared" si="5"/>
        <v>0</v>
      </c>
      <c r="U44" s="127">
        <f t="shared" si="5"/>
        <v>0</v>
      </c>
      <c r="V44" s="127">
        <f t="shared" si="5"/>
        <v>0</v>
      </c>
      <c r="W44" s="127">
        <f t="shared" si="5"/>
        <v>0</v>
      </c>
    </row>
    <row r="45" spans="1:23" ht="12.75">
      <c r="A45" s="130"/>
      <c r="B45" s="131"/>
      <c r="C45" s="125"/>
      <c r="D45" s="125"/>
      <c r="E45" s="125"/>
      <c r="F45" s="125"/>
      <c r="G45" s="129"/>
      <c r="H45" s="125"/>
      <c r="I45" s="130"/>
      <c r="J45" s="131"/>
      <c r="K45" s="125"/>
      <c r="L45" s="125"/>
      <c r="M45" s="125"/>
      <c r="N45" s="125"/>
      <c r="O45" s="129"/>
      <c r="Q45" s="128">
        <f t="shared" si="4"/>
        <v>0</v>
      </c>
      <c r="R45" s="127">
        <f t="shared" si="5"/>
        <v>0</v>
      </c>
      <c r="S45" s="127">
        <f t="shared" si="5"/>
        <v>0</v>
      </c>
      <c r="T45" s="127">
        <f t="shared" si="5"/>
        <v>0</v>
      </c>
      <c r="U45" s="127">
        <f t="shared" si="5"/>
        <v>0</v>
      </c>
      <c r="V45" s="127">
        <f t="shared" si="5"/>
        <v>0</v>
      </c>
      <c r="W45" s="127">
        <f t="shared" si="5"/>
        <v>0</v>
      </c>
    </row>
    <row r="46" spans="1:23" ht="12.75">
      <c r="A46" s="130"/>
      <c r="B46" s="131"/>
      <c r="C46" s="125"/>
      <c r="D46" s="125"/>
      <c r="E46" s="125"/>
      <c r="F46" s="125"/>
      <c r="G46" s="129"/>
      <c r="H46" s="125"/>
      <c r="I46" s="130"/>
      <c r="J46" s="131"/>
      <c r="K46" s="125"/>
      <c r="L46" s="125"/>
      <c r="M46" s="125"/>
      <c r="N46" s="125"/>
      <c r="O46" s="129"/>
      <c r="Q46" s="128">
        <f t="shared" si="4"/>
        <v>0</v>
      </c>
      <c r="R46" s="127">
        <f t="shared" si="5"/>
        <v>0</v>
      </c>
      <c r="S46" s="127">
        <f t="shared" si="5"/>
        <v>0</v>
      </c>
      <c r="T46" s="127">
        <f t="shared" si="5"/>
        <v>0</v>
      </c>
      <c r="U46" s="127">
        <f t="shared" si="5"/>
        <v>0</v>
      </c>
      <c r="V46" s="127">
        <f t="shared" si="5"/>
        <v>0</v>
      </c>
      <c r="W46" s="127">
        <f t="shared" si="5"/>
        <v>0</v>
      </c>
    </row>
    <row r="47" spans="1:23" ht="12.75">
      <c r="A47" s="130"/>
      <c r="B47" s="131"/>
      <c r="C47" s="125"/>
      <c r="D47" s="125"/>
      <c r="E47" s="125"/>
      <c r="F47" s="125"/>
      <c r="G47" s="129"/>
      <c r="H47" s="125"/>
      <c r="I47" s="130"/>
      <c r="J47" s="131"/>
      <c r="K47" s="125"/>
      <c r="L47" s="125"/>
      <c r="M47" s="125"/>
      <c r="N47" s="125"/>
      <c r="O47" s="129"/>
      <c r="Q47" s="128">
        <f t="shared" si="4"/>
        <v>0</v>
      </c>
      <c r="R47" s="127">
        <f t="shared" si="5"/>
        <v>0</v>
      </c>
      <c r="S47" s="127">
        <f t="shared" si="5"/>
        <v>0</v>
      </c>
      <c r="T47" s="127">
        <f t="shared" si="5"/>
        <v>0</v>
      </c>
      <c r="U47" s="127">
        <f t="shared" si="5"/>
        <v>0</v>
      </c>
      <c r="V47" s="127">
        <f t="shared" si="5"/>
        <v>0</v>
      </c>
      <c r="W47" s="127">
        <f t="shared" si="5"/>
        <v>0</v>
      </c>
    </row>
    <row r="48" spans="1:23" ht="12.75">
      <c r="A48" s="130"/>
      <c r="B48" s="131"/>
      <c r="C48" s="125"/>
      <c r="D48" s="125"/>
      <c r="E48" s="125"/>
      <c r="F48" s="125"/>
      <c r="G48" s="129"/>
      <c r="H48" s="125"/>
      <c r="I48" s="130"/>
      <c r="J48" s="131"/>
      <c r="K48" s="125"/>
      <c r="L48" s="125"/>
      <c r="M48" s="125"/>
      <c r="N48" s="125"/>
      <c r="O48" s="129"/>
      <c r="Q48" s="128">
        <f t="shared" si="4"/>
        <v>0</v>
      </c>
      <c r="R48" s="127">
        <f t="shared" si="5"/>
        <v>0</v>
      </c>
      <c r="S48" s="127">
        <f t="shared" si="5"/>
        <v>0</v>
      </c>
      <c r="T48" s="127">
        <f t="shared" si="5"/>
        <v>0</v>
      </c>
      <c r="U48" s="127">
        <f t="shared" si="5"/>
        <v>0</v>
      </c>
      <c r="V48" s="127">
        <f t="shared" si="5"/>
        <v>0</v>
      </c>
      <c r="W48" s="127">
        <f t="shared" si="5"/>
        <v>0</v>
      </c>
    </row>
    <row r="49" spans="1:23" ht="12.75">
      <c r="A49" s="134"/>
      <c r="B49" s="135"/>
      <c r="C49" s="132"/>
      <c r="D49" s="132"/>
      <c r="E49" s="132"/>
      <c r="F49" s="132"/>
      <c r="G49" s="133"/>
      <c r="H49" s="125"/>
      <c r="I49" s="134"/>
      <c r="J49" s="135"/>
      <c r="K49" s="132"/>
      <c r="L49" s="132"/>
      <c r="M49" s="132"/>
      <c r="N49" s="132"/>
      <c r="O49" s="133"/>
      <c r="Q49" s="128">
        <f t="shared" si="4"/>
        <v>0</v>
      </c>
      <c r="R49" s="127">
        <f t="shared" si="5"/>
        <v>0</v>
      </c>
      <c r="S49" s="127">
        <f t="shared" si="5"/>
        <v>0</v>
      </c>
      <c r="T49" s="127">
        <f t="shared" si="5"/>
        <v>0</v>
      </c>
      <c r="U49" s="127">
        <f t="shared" si="5"/>
        <v>0</v>
      </c>
      <c r="V49" s="127">
        <f t="shared" si="5"/>
        <v>0</v>
      </c>
      <c r="W49" s="127">
        <f t="shared" si="5"/>
        <v>0</v>
      </c>
    </row>
    <row r="50" spans="5:23" ht="12.75">
      <c r="E50" s="136"/>
      <c r="F50" s="136"/>
      <c r="G50" s="136"/>
      <c r="H50" s="136"/>
      <c r="M50" s="136"/>
      <c r="N50" s="136"/>
      <c r="O50" s="136"/>
      <c r="R50" s="127"/>
      <c r="S50" s="127"/>
      <c r="T50" s="127"/>
      <c r="U50" s="127"/>
      <c r="V50" s="127"/>
      <c r="W50" s="127"/>
    </row>
    <row r="51" spans="1:18" ht="12.75">
      <c r="A51" s="155"/>
      <c r="B51" s="156"/>
      <c r="E51" s="136"/>
      <c r="F51" s="136"/>
      <c r="G51" s="136"/>
      <c r="H51" s="136"/>
      <c r="I51" s="155"/>
      <c r="J51" s="156"/>
      <c r="M51" s="136"/>
      <c r="N51" s="136"/>
      <c r="O51" s="136"/>
      <c r="Q51" s="128">
        <f>+A51</f>
        <v>0</v>
      </c>
      <c r="R51" s="128">
        <f>+B51</f>
        <v>0</v>
      </c>
    </row>
    <row r="52" spans="1:23" ht="12.75">
      <c r="A52" s="142"/>
      <c r="B52" s="140"/>
      <c r="C52" s="140"/>
      <c r="D52" s="139"/>
      <c r="E52" s="139"/>
      <c r="F52" s="140"/>
      <c r="G52" s="139"/>
      <c r="H52" s="141"/>
      <c r="I52" s="142"/>
      <c r="J52" s="140"/>
      <c r="K52" s="140"/>
      <c r="L52" s="139"/>
      <c r="M52" s="139"/>
      <c r="N52" s="140"/>
      <c r="O52" s="139"/>
      <c r="Q52" s="128">
        <f>+A52</f>
        <v>0</v>
      </c>
      <c r="R52" s="128">
        <f>+B52</f>
        <v>0</v>
      </c>
      <c r="S52" s="128">
        <f>+C52</f>
        <v>0</v>
      </c>
      <c r="T52" s="128">
        <f>+D52</f>
        <v>0</v>
      </c>
      <c r="U52" s="128">
        <f>+E52</f>
        <v>0</v>
      </c>
      <c r="V52" s="128">
        <f>+F52</f>
        <v>0</v>
      </c>
      <c r="W52" s="128">
        <f>+G52</f>
        <v>0</v>
      </c>
    </row>
    <row r="53" spans="1:23" ht="12.75">
      <c r="A53" s="130"/>
      <c r="B53" s="145"/>
      <c r="C53" s="143"/>
      <c r="D53" s="143"/>
      <c r="E53" s="125"/>
      <c r="F53" s="143"/>
      <c r="G53" s="144"/>
      <c r="H53" s="125"/>
      <c r="I53" s="130"/>
      <c r="J53" s="145"/>
      <c r="K53" s="143"/>
      <c r="L53" s="143"/>
      <c r="M53" s="125"/>
      <c r="N53" s="143"/>
      <c r="O53" s="144"/>
      <c r="Q53" s="128">
        <f aca="true" t="shared" si="6" ref="Q53:Q61">+A53</f>
        <v>0</v>
      </c>
      <c r="R53" s="127">
        <f aca="true" t="shared" si="7" ref="R53:W61">+B53-J53</f>
        <v>0</v>
      </c>
      <c r="S53" s="127">
        <f t="shared" si="7"/>
        <v>0</v>
      </c>
      <c r="T53" s="127">
        <f t="shared" si="7"/>
        <v>0</v>
      </c>
      <c r="U53" s="127">
        <f t="shared" si="7"/>
        <v>0</v>
      </c>
      <c r="V53" s="127">
        <f t="shared" si="7"/>
        <v>0</v>
      </c>
      <c r="W53" s="127">
        <f t="shared" si="7"/>
        <v>0</v>
      </c>
    </row>
    <row r="54" spans="1:23" ht="12.75">
      <c r="A54" s="130"/>
      <c r="B54" s="131"/>
      <c r="C54" s="125"/>
      <c r="D54" s="125"/>
      <c r="E54" s="125"/>
      <c r="F54" s="125"/>
      <c r="G54" s="129"/>
      <c r="H54" s="125"/>
      <c r="I54" s="130"/>
      <c r="J54" s="131"/>
      <c r="K54" s="125"/>
      <c r="L54" s="125"/>
      <c r="M54" s="125"/>
      <c r="N54" s="125"/>
      <c r="O54" s="129"/>
      <c r="Q54" s="128">
        <f t="shared" si="6"/>
        <v>0</v>
      </c>
      <c r="R54" s="127">
        <f t="shared" si="7"/>
        <v>0</v>
      </c>
      <c r="S54" s="127">
        <f t="shared" si="7"/>
        <v>0</v>
      </c>
      <c r="T54" s="127">
        <f t="shared" si="7"/>
        <v>0</v>
      </c>
      <c r="U54" s="127">
        <f t="shared" si="7"/>
        <v>0</v>
      </c>
      <c r="V54" s="127">
        <f t="shared" si="7"/>
        <v>0</v>
      </c>
      <c r="W54" s="127">
        <f t="shared" si="7"/>
        <v>0</v>
      </c>
    </row>
    <row r="55" spans="1:23" ht="12.75">
      <c r="A55" s="130"/>
      <c r="B55" s="131"/>
      <c r="C55" s="125"/>
      <c r="D55" s="125"/>
      <c r="E55" s="125"/>
      <c r="F55" s="125"/>
      <c r="G55" s="129"/>
      <c r="H55" s="125"/>
      <c r="I55" s="130"/>
      <c r="J55" s="131"/>
      <c r="K55" s="125"/>
      <c r="L55" s="125"/>
      <c r="M55" s="125"/>
      <c r="N55" s="125"/>
      <c r="O55" s="129"/>
      <c r="Q55" s="128">
        <f t="shared" si="6"/>
        <v>0</v>
      </c>
      <c r="R55" s="127">
        <f t="shared" si="7"/>
        <v>0</v>
      </c>
      <c r="S55" s="127">
        <f t="shared" si="7"/>
        <v>0</v>
      </c>
      <c r="T55" s="127">
        <f t="shared" si="7"/>
        <v>0</v>
      </c>
      <c r="U55" s="127">
        <f t="shared" si="7"/>
        <v>0</v>
      </c>
      <c r="V55" s="127">
        <f t="shared" si="7"/>
        <v>0</v>
      </c>
      <c r="W55" s="127">
        <f t="shared" si="7"/>
        <v>0</v>
      </c>
    </row>
    <row r="56" spans="1:23" ht="12.75">
      <c r="A56" s="130"/>
      <c r="B56" s="131"/>
      <c r="C56" s="125"/>
      <c r="D56" s="125"/>
      <c r="E56" s="125"/>
      <c r="F56" s="125"/>
      <c r="G56" s="129"/>
      <c r="H56" s="125"/>
      <c r="I56" s="130"/>
      <c r="J56" s="131"/>
      <c r="K56" s="125"/>
      <c r="L56" s="125"/>
      <c r="M56" s="125"/>
      <c r="N56" s="125"/>
      <c r="O56" s="129"/>
      <c r="Q56" s="128">
        <f t="shared" si="6"/>
        <v>0</v>
      </c>
      <c r="R56" s="127">
        <f t="shared" si="7"/>
        <v>0</v>
      </c>
      <c r="S56" s="127">
        <f t="shared" si="7"/>
        <v>0</v>
      </c>
      <c r="T56" s="127">
        <f t="shared" si="7"/>
        <v>0</v>
      </c>
      <c r="U56" s="127">
        <f t="shared" si="7"/>
        <v>0</v>
      </c>
      <c r="V56" s="127">
        <f t="shared" si="7"/>
        <v>0</v>
      </c>
      <c r="W56" s="127">
        <f t="shared" si="7"/>
        <v>0</v>
      </c>
    </row>
    <row r="57" spans="1:23" ht="13.5" customHeight="1">
      <c r="A57" s="130"/>
      <c r="B57" s="131"/>
      <c r="C57" s="125"/>
      <c r="D57" s="125"/>
      <c r="E57" s="125"/>
      <c r="F57" s="125"/>
      <c r="G57" s="129"/>
      <c r="H57" s="125"/>
      <c r="I57" s="130"/>
      <c r="J57" s="131"/>
      <c r="K57" s="125"/>
      <c r="L57" s="125"/>
      <c r="M57" s="125"/>
      <c r="N57" s="125"/>
      <c r="O57" s="129"/>
      <c r="Q57" s="128">
        <f t="shared" si="6"/>
        <v>0</v>
      </c>
      <c r="R57" s="127">
        <f t="shared" si="7"/>
        <v>0</v>
      </c>
      <c r="S57" s="127">
        <f t="shared" si="7"/>
        <v>0</v>
      </c>
      <c r="T57" s="127">
        <f t="shared" si="7"/>
        <v>0</v>
      </c>
      <c r="U57" s="127">
        <f t="shared" si="7"/>
        <v>0</v>
      </c>
      <c r="V57" s="127">
        <f t="shared" si="7"/>
        <v>0</v>
      </c>
      <c r="W57" s="127">
        <f t="shared" si="7"/>
        <v>0</v>
      </c>
    </row>
    <row r="58" spans="1:23" ht="12" customHeight="1">
      <c r="A58" s="130"/>
      <c r="B58" s="131"/>
      <c r="C58" s="125"/>
      <c r="D58" s="125"/>
      <c r="E58" s="125"/>
      <c r="F58" s="125"/>
      <c r="G58" s="129"/>
      <c r="H58" s="125"/>
      <c r="I58" s="130"/>
      <c r="J58" s="131"/>
      <c r="K58" s="125"/>
      <c r="L58" s="125"/>
      <c r="M58" s="125"/>
      <c r="N58" s="125"/>
      <c r="O58" s="129"/>
      <c r="Q58" s="128">
        <f t="shared" si="6"/>
        <v>0</v>
      </c>
      <c r="R58" s="127">
        <f t="shared" si="7"/>
        <v>0</v>
      </c>
      <c r="S58" s="127">
        <f t="shared" si="7"/>
        <v>0</v>
      </c>
      <c r="T58" s="127">
        <f t="shared" si="7"/>
        <v>0</v>
      </c>
      <c r="U58" s="127">
        <f t="shared" si="7"/>
        <v>0</v>
      </c>
      <c r="V58" s="127">
        <f t="shared" si="7"/>
        <v>0</v>
      </c>
      <c r="W58" s="127">
        <f t="shared" si="7"/>
        <v>0</v>
      </c>
    </row>
    <row r="59" spans="1:23" ht="12.75">
      <c r="A59" s="130"/>
      <c r="B59" s="131"/>
      <c r="C59" s="125"/>
      <c r="D59" s="125"/>
      <c r="E59" s="125"/>
      <c r="F59" s="125"/>
      <c r="G59" s="129"/>
      <c r="H59" s="125"/>
      <c r="I59" s="130"/>
      <c r="J59" s="131"/>
      <c r="K59" s="125"/>
      <c r="L59" s="125"/>
      <c r="M59" s="125"/>
      <c r="N59" s="125"/>
      <c r="O59" s="129"/>
      <c r="Q59" s="128">
        <f t="shared" si="6"/>
        <v>0</v>
      </c>
      <c r="R59" s="127">
        <f t="shared" si="7"/>
        <v>0</v>
      </c>
      <c r="S59" s="127">
        <f t="shared" si="7"/>
        <v>0</v>
      </c>
      <c r="T59" s="127">
        <f t="shared" si="7"/>
        <v>0</v>
      </c>
      <c r="U59" s="127">
        <f t="shared" si="7"/>
        <v>0</v>
      </c>
      <c r="V59" s="127">
        <f t="shared" si="7"/>
        <v>0</v>
      </c>
      <c r="W59" s="127">
        <f t="shared" si="7"/>
        <v>0</v>
      </c>
    </row>
    <row r="60" spans="1:23" ht="12.75">
      <c r="A60" s="130"/>
      <c r="B60" s="131"/>
      <c r="C60" s="125"/>
      <c r="D60" s="125"/>
      <c r="E60" s="125"/>
      <c r="F60" s="125"/>
      <c r="G60" s="129"/>
      <c r="H60" s="125"/>
      <c r="I60" s="130"/>
      <c r="J60" s="131"/>
      <c r="K60" s="125"/>
      <c r="L60" s="125"/>
      <c r="M60" s="125"/>
      <c r="N60" s="125"/>
      <c r="O60" s="129"/>
      <c r="Q60" s="128">
        <f t="shared" si="6"/>
        <v>0</v>
      </c>
      <c r="R60" s="127">
        <f t="shared" si="7"/>
        <v>0</v>
      </c>
      <c r="S60" s="127">
        <f t="shared" si="7"/>
        <v>0</v>
      </c>
      <c r="T60" s="127">
        <f t="shared" si="7"/>
        <v>0</v>
      </c>
      <c r="U60" s="127">
        <f t="shared" si="7"/>
        <v>0</v>
      </c>
      <c r="V60" s="127">
        <f t="shared" si="7"/>
        <v>0</v>
      </c>
      <c r="W60" s="127">
        <f t="shared" si="7"/>
        <v>0</v>
      </c>
    </row>
    <row r="61" spans="1:23" ht="12.75">
      <c r="A61" s="134"/>
      <c r="B61" s="135"/>
      <c r="C61" s="132"/>
      <c r="D61" s="132"/>
      <c r="E61" s="132"/>
      <c r="F61" s="132"/>
      <c r="G61" s="133"/>
      <c r="H61" s="125"/>
      <c r="I61" s="134"/>
      <c r="J61" s="135"/>
      <c r="K61" s="132"/>
      <c r="L61" s="132"/>
      <c r="M61" s="132"/>
      <c r="N61" s="132"/>
      <c r="O61" s="133"/>
      <c r="Q61" s="128">
        <f t="shared" si="6"/>
        <v>0</v>
      </c>
      <c r="R61" s="127">
        <f t="shared" si="7"/>
        <v>0</v>
      </c>
      <c r="S61" s="127">
        <f t="shared" si="7"/>
        <v>0</v>
      </c>
      <c r="T61" s="127">
        <f t="shared" si="7"/>
        <v>0</v>
      </c>
      <c r="U61" s="127">
        <f t="shared" si="7"/>
        <v>0</v>
      </c>
      <c r="V61" s="127">
        <f t="shared" si="7"/>
        <v>0</v>
      </c>
      <c r="W61" s="127">
        <f t="shared" si="7"/>
        <v>0</v>
      </c>
    </row>
    <row r="62" spans="5:15" ht="12.75">
      <c r="E62" s="136"/>
      <c r="F62" s="136"/>
      <c r="G62" s="136"/>
      <c r="H62" s="136"/>
      <c r="M62" s="136"/>
      <c r="N62" s="136"/>
      <c r="O62" s="136"/>
    </row>
    <row r="63" spans="1:18" ht="12.75">
      <c r="A63" s="155"/>
      <c r="B63" s="156"/>
      <c r="E63" s="136"/>
      <c r="F63" s="136"/>
      <c r="G63" s="136"/>
      <c r="H63" s="136"/>
      <c r="I63" s="155"/>
      <c r="J63" s="156"/>
      <c r="M63" s="136"/>
      <c r="N63" s="136"/>
      <c r="O63" s="136"/>
      <c r="Q63" s="128">
        <f>+A63</f>
        <v>0</v>
      </c>
      <c r="R63" s="128">
        <f>+B63</f>
        <v>0</v>
      </c>
    </row>
    <row r="64" spans="1:23" ht="12.75">
      <c r="A64" s="142"/>
      <c r="B64" s="140"/>
      <c r="C64" s="140"/>
      <c r="D64" s="139"/>
      <c r="E64" s="139"/>
      <c r="F64" s="140"/>
      <c r="G64" s="139"/>
      <c r="H64" s="141"/>
      <c r="I64" s="142"/>
      <c r="J64" s="140"/>
      <c r="K64" s="140"/>
      <c r="L64" s="139"/>
      <c r="M64" s="139"/>
      <c r="N64" s="140"/>
      <c r="O64" s="139"/>
      <c r="Q64" s="128">
        <f>+A64</f>
        <v>0</v>
      </c>
      <c r="R64" s="128">
        <f>+B64</f>
        <v>0</v>
      </c>
      <c r="S64" s="128">
        <f>+C64</f>
        <v>0</v>
      </c>
      <c r="T64" s="128">
        <f>+D64</f>
        <v>0</v>
      </c>
      <c r="U64" s="128">
        <f>+E64</f>
        <v>0</v>
      </c>
      <c r="V64" s="128">
        <f>+F64</f>
        <v>0</v>
      </c>
      <c r="W64" s="128">
        <f>+G64</f>
        <v>0</v>
      </c>
    </row>
    <row r="65" spans="1:23" ht="12.75">
      <c r="A65" s="130"/>
      <c r="B65" s="145"/>
      <c r="C65" s="143"/>
      <c r="D65" s="143"/>
      <c r="E65" s="125"/>
      <c r="F65" s="143"/>
      <c r="G65" s="144"/>
      <c r="H65" s="125"/>
      <c r="I65" s="130"/>
      <c r="J65" s="145"/>
      <c r="K65" s="143"/>
      <c r="L65" s="143"/>
      <c r="M65" s="125"/>
      <c r="N65" s="143"/>
      <c r="O65" s="144"/>
      <c r="Q65" s="128">
        <f aca="true" t="shared" si="8" ref="Q65:Q73">+A65</f>
        <v>0</v>
      </c>
      <c r="R65" s="127">
        <f aca="true" t="shared" si="9" ref="R65:W73">+B65-J65</f>
        <v>0</v>
      </c>
      <c r="S65" s="127">
        <f t="shared" si="9"/>
        <v>0</v>
      </c>
      <c r="T65" s="127">
        <f t="shared" si="9"/>
        <v>0</v>
      </c>
      <c r="U65" s="127">
        <f t="shared" si="9"/>
        <v>0</v>
      </c>
      <c r="V65" s="127">
        <f t="shared" si="9"/>
        <v>0</v>
      </c>
      <c r="W65" s="127">
        <f t="shared" si="9"/>
        <v>0</v>
      </c>
    </row>
    <row r="66" spans="1:23" ht="12.75">
      <c r="A66" s="130"/>
      <c r="B66" s="131"/>
      <c r="C66" s="125"/>
      <c r="D66" s="125"/>
      <c r="E66" s="125"/>
      <c r="F66" s="125"/>
      <c r="G66" s="129"/>
      <c r="H66" s="125"/>
      <c r="I66" s="130"/>
      <c r="J66" s="131"/>
      <c r="K66" s="125"/>
      <c r="L66" s="125"/>
      <c r="M66" s="125"/>
      <c r="N66" s="125"/>
      <c r="O66" s="129"/>
      <c r="Q66" s="128">
        <f t="shared" si="8"/>
        <v>0</v>
      </c>
      <c r="R66" s="127">
        <f t="shared" si="9"/>
        <v>0</v>
      </c>
      <c r="S66" s="127">
        <f t="shared" si="9"/>
        <v>0</v>
      </c>
      <c r="T66" s="127">
        <f t="shared" si="9"/>
        <v>0</v>
      </c>
      <c r="U66" s="127">
        <f t="shared" si="9"/>
        <v>0</v>
      </c>
      <c r="V66" s="127">
        <f t="shared" si="9"/>
        <v>0</v>
      </c>
      <c r="W66" s="127">
        <f t="shared" si="9"/>
        <v>0</v>
      </c>
    </row>
    <row r="67" spans="1:23" ht="12.75">
      <c r="A67" s="130"/>
      <c r="B67" s="131"/>
      <c r="C67" s="125"/>
      <c r="D67" s="125"/>
      <c r="E67" s="125"/>
      <c r="F67" s="125"/>
      <c r="G67" s="129"/>
      <c r="H67" s="125"/>
      <c r="I67" s="130"/>
      <c r="J67" s="131"/>
      <c r="K67" s="125"/>
      <c r="L67" s="125"/>
      <c r="M67" s="125"/>
      <c r="N67" s="125"/>
      <c r="O67" s="129"/>
      <c r="Q67" s="128">
        <f t="shared" si="8"/>
        <v>0</v>
      </c>
      <c r="R67" s="127">
        <f t="shared" si="9"/>
        <v>0</v>
      </c>
      <c r="S67" s="127">
        <f t="shared" si="9"/>
        <v>0</v>
      </c>
      <c r="T67" s="127">
        <f t="shared" si="9"/>
        <v>0</v>
      </c>
      <c r="U67" s="127">
        <f t="shared" si="9"/>
        <v>0</v>
      </c>
      <c r="V67" s="127">
        <f t="shared" si="9"/>
        <v>0</v>
      </c>
      <c r="W67" s="127">
        <f t="shared" si="9"/>
        <v>0</v>
      </c>
    </row>
    <row r="68" spans="1:23" ht="12.75">
      <c r="A68" s="130"/>
      <c r="B68" s="131"/>
      <c r="C68" s="125"/>
      <c r="D68" s="125"/>
      <c r="E68" s="125"/>
      <c r="F68" s="125"/>
      <c r="G68" s="129"/>
      <c r="H68" s="125"/>
      <c r="I68" s="130"/>
      <c r="J68" s="131"/>
      <c r="K68" s="125"/>
      <c r="L68" s="125"/>
      <c r="M68" s="125"/>
      <c r="N68" s="125"/>
      <c r="O68" s="129"/>
      <c r="Q68" s="128">
        <f t="shared" si="8"/>
        <v>0</v>
      </c>
      <c r="R68" s="127">
        <f t="shared" si="9"/>
        <v>0</v>
      </c>
      <c r="S68" s="127">
        <f t="shared" si="9"/>
        <v>0</v>
      </c>
      <c r="T68" s="127">
        <f t="shared" si="9"/>
        <v>0</v>
      </c>
      <c r="U68" s="127">
        <f t="shared" si="9"/>
        <v>0</v>
      </c>
      <c r="V68" s="127">
        <f t="shared" si="9"/>
        <v>0</v>
      </c>
      <c r="W68" s="127">
        <f t="shared" si="9"/>
        <v>0</v>
      </c>
    </row>
    <row r="69" spans="1:23" ht="12.75">
      <c r="A69" s="130"/>
      <c r="B69" s="131"/>
      <c r="C69" s="125"/>
      <c r="D69" s="125"/>
      <c r="E69" s="125"/>
      <c r="F69" s="125"/>
      <c r="G69" s="129"/>
      <c r="H69" s="125"/>
      <c r="I69" s="130"/>
      <c r="J69" s="131"/>
      <c r="K69" s="125"/>
      <c r="L69" s="125"/>
      <c r="M69" s="125"/>
      <c r="N69" s="125"/>
      <c r="O69" s="129"/>
      <c r="Q69" s="128">
        <f t="shared" si="8"/>
        <v>0</v>
      </c>
      <c r="R69" s="127">
        <f t="shared" si="9"/>
        <v>0</v>
      </c>
      <c r="S69" s="127">
        <f t="shared" si="9"/>
        <v>0</v>
      </c>
      <c r="T69" s="127">
        <f t="shared" si="9"/>
        <v>0</v>
      </c>
      <c r="U69" s="127">
        <f t="shared" si="9"/>
        <v>0</v>
      </c>
      <c r="V69" s="127">
        <f t="shared" si="9"/>
        <v>0</v>
      </c>
      <c r="W69" s="127">
        <f t="shared" si="9"/>
        <v>0</v>
      </c>
    </row>
    <row r="70" spans="1:23" ht="12.75">
      <c r="A70" s="130"/>
      <c r="B70" s="131"/>
      <c r="C70" s="125"/>
      <c r="D70" s="125"/>
      <c r="E70" s="125"/>
      <c r="F70" s="125"/>
      <c r="G70" s="129"/>
      <c r="H70" s="125"/>
      <c r="I70" s="130"/>
      <c r="J70" s="131"/>
      <c r="K70" s="125"/>
      <c r="L70" s="125"/>
      <c r="M70" s="125"/>
      <c r="N70" s="125"/>
      <c r="O70" s="129"/>
      <c r="Q70" s="128">
        <f t="shared" si="8"/>
        <v>0</v>
      </c>
      <c r="R70" s="127">
        <f t="shared" si="9"/>
        <v>0</v>
      </c>
      <c r="S70" s="127">
        <f t="shared" si="9"/>
        <v>0</v>
      </c>
      <c r="T70" s="127">
        <f t="shared" si="9"/>
        <v>0</v>
      </c>
      <c r="U70" s="127">
        <f t="shared" si="9"/>
        <v>0</v>
      </c>
      <c r="V70" s="127">
        <f t="shared" si="9"/>
        <v>0</v>
      </c>
      <c r="W70" s="127">
        <f t="shared" si="9"/>
        <v>0</v>
      </c>
    </row>
    <row r="71" spans="1:23" ht="12.75">
      <c r="A71" s="130"/>
      <c r="B71" s="131"/>
      <c r="C71" s="125"/>
      <c r="D71" s="125"/>
      <c r="E71" s="125"/>
      <c r="F71" s="125"/>
      <c r="G71" s="129"/>
      <c r="H71" s="125"/>
      <c r="I71" s="130"/>
      <c r="J71" s="131"/>
      <c r="K71" s="125"/>
      <c r="L71" s="125"/>
      <c r="M71" s="125"/>
      <c r="N71" s="125"/>
      <c r="O71" s="129"/>
      <c r="Q71" s="128">
        <f t="shared" si="8"/>
        <v>0</v>
      </c>
      <c r="R71" s="127">
        <f t="shared" si="9"/>
        <v>0</v>
      </c>
      <c r="S71" s="127">
        <f t="shared" si="9"/>
        <v>0</v>
      </c>
      <c r="T71" s="127">
        <f t="shared" si="9"/>
        <v>0</v>
      </c>
      <c r="U71" s="127">
        <f t="shared" si="9"/>
        <v>0</v>
      </c>
      <c r="V71" s="127">
        <f t="shared" si="9"/>
        <v>0</v>
      </c>
      <c r="W71" s="127">
        <f t="shared" si="9"/>
        <v>0</v>
      </c>
    </row>
    <row r="72" spans="1:23" ht="12.75">
      <c r="A72" s="130"/>
      <c r="B72" s="131"/>
      <c r="C72" s="125"/>
      <c r="D72" s="125"/>
      <c r="E72" s="125"/>
      <c r="F72" s="125"/>
      <c r="G72" s="129"/>
      <c r="H72" s="125"/>
      <c r="I72" s="130"/>
      <c r="J72" s="131"/>
      <c r="K72" s="125"/>
      <c r="L72" s="125"/>
      <c r="M72" s="125"/>
      <c r="N72" s="125"/>
      <c r="O72" s="129"/>
      <c r="Q72" s="128">
        <f t="shared" si="8"/>
        <v>0</v>
      </c>
      <c r="R72" s="127">
        <f t="shared" si="9"/>
        <v>0</v>
      </c>
      <c r="S72" s="127">
        <f t="shared" si="9"/>
        <v>0</v>
      </c>
      <c r="T72" s="127">
        <f t="shared" si="9"/>
        <v>0</v>
      </c>
      <c r="U72" s="127">
        <f t="shared" si="9"/>
        <v>0</v>
      </c>
      <c r="V72" s="127">
        <f t="shared" si="9"/>
        <v>0</v>
      </c>
      <c r="W72" s="127">
        <f t="shared" si="9"/>
        <v>0</v>
      </c>
    </row>
    <row r="73" spans="1:23" ht="12.75">
      <c r="A73" s="134"/>
      <c r="B73" s="135"/>
      <c r="C73" s="132"/>
      <c r="D73" s="132"/>
      <c r="E73" s="132"/>
      <c r="F73" s="132"/>
      <c r="G73" s="133"/>
      <c r="H73" s="125"/>
      <c r="I73" s="134"/>
      <c r="J73" s="135"/>
      <c r="K73" s="132"/>
      <c r="L73" s="132"/>
      <c r="M73" s="132"/>
      <c r="N73" s="132"/>
      <c r="O73" s="133"/>
      <c r="Q73" s="128">
        <f t="shared" si="8"/>
        <v>0</v>
      </c>
      <c r="R73" s="127">
        <f t="shared" si="9"/>
        <v>0</v>
      </c>
      <c r="S73" s="127">
        <f t="shared" si="9"/>
        <v>0</v>
      </c>
      <c r="T73" s="127">
        <f t="shared" si="9"/>
        <v>0</v>
      </c>
      <c r="U73" s="127">
        <f t="shared" si="9"/>
        <v>0</v>
      </c>
      <c r="V73" s="127">
        <f t="shared" si="9"/>
        <v>0</v>
      </c>
      <c r="W73" s="127">
        <f t="shared" si="9"/>
        <v>0</v>
      </c>
    </row>
    <row r="74" spans="5:15" ht="12.75">
      <c r="E74" s="136"/>
      <c r="F74" s="136"/>
      <c r="G74" s="136"/>
      <c r="H74" s="136"/>
      <c r="M74" s="136"/>
      <c r="N74" s="136"/>
      <c r="O74" s="136"/>
    </row>
    <row r="75" spans="1:18" ht="12.75">
      <c r="A75" s="155"/>
      <c r="B75" s="156"/>
      <c r="E75" s="136"/>
      <c r="F75" s="136"/>
      <c r="G75" s="136"/>
      <c r="H75" s="136"/>
      <c r="I75" s="155"/>
      <c r="J75" s="156"/>
      <c r="M75" s="136"/>
      <c r="N75" s="136"/>
      <c r="O75" s="136"/>
      <c r="Q75" s="128">
        <f>+A75</f>
        <v>0</v>
      </c>
      <c r="R75" s="128">
        <f>+B75</f>
        <v>0</v>
      </c>
    </row>
    <row r="76" spans="1:23" ht="12.75">
      <c r="A76" s="142"/>
      <c r="B76" s="140"/>
      <c r="C76" s="140"/>
      <c r="D76" s="139"/>
      <c r="E76" s="139"/>
      <c r="F76" s="140"/>
      <c r="G76" s="139"/>
      <c r="H76" s="141"/>
      <c r="I76" s="142"/>
      <c r="J76" s="140"/>
      <c r="K76" s="140"/>
      <c r="L76" s="139"/>
      <c r="M76" s="139"/>
      <c r="N76" s="140"/>
      <c r="O76" s="139"/>
      <c r="Q76" s="128">
        <f>+A76</f>
        <v>0</v>
      </c>
      <c r="R76" s="128">
        <f>+B76</f>
        <v>0</v>
      </c>
      <c r="S76" s="128">
        <f>+C76</f>
        <v>0</v>
      </c>
      <c r="T76" s="128">
        <f>+D76</f>
        <v>0</v>
      </c>
      <c r="U76" s="128">
        <f>+E76</f>
        <v>0</v>
      </c>
      <c r="V76" s="128">
        <f>+F76</f>
        <v>0</v>
      </c>
      <c r="W76" s="128">
        <f>+G76</f>
        <v>0</v>
      </c>
    </row>
    <row r="77" spans="1:23" ht="12.75">
      <c r="A77" s="130"/>
      <c r="B77" s="145"/>
      <c r="C77" s="143"/>
      <c r="D77" s="143"/>
      <c r="E77" s="125"/>
      <c r="F77" s="143"/>
      <c r="G77" s="144"/>
      <c r="H77" s="125"/>
      <c r="I77" s="130"/>
      <c r="J77" s="145"/>
      <c r="K77" s="143"/>
      <c r="L77" s="143"/>
      <c r="M77" s="125"/>
      <c r="N77" s="143"/>
      <c r="O77" s="144"/>
      <c r="Q77" s="128">
        <f aca="true" t="shared" si="10" ref="Q77:Q85">+A77</f>
        <v>0</v>
      </c>
      <c r="R77" s="127">
        <f aca="true" t="shared" si="11" ref="R77:W85">+B77-J77</f>
        <v>0</v>
      </c>
      <c r="S77" s="127">
        <f t="shared" si="11"/>
        <v>0</v>
      </c>
      <c r="T77" s="127">
        <f t="shared" si="11"/>
        <v>0</v>
      </c>
      <c r="U77" s="127">
        <f t="shared" si="11"/>
        <v>0</v>
      </c>
      <c r="V77" s="127">
        <f t="shared" si="11"/>
        <v>0</v>
      </c>
      <c r="W77" s="127">
        <f t="shared" si="11"/>
        <v>0</v>
      </c>
    </row>
    <row r="78" spans="1:23" ht="12.75">
      <c r="A78" s="130"/>
      <c r="B78" s="131"/>
      <c r="C78" s="125"/>
      <c r="D78" s="125"/>
      <c r="E78" s="125"/>
      <c r="F78" s="125"/>
      <c r="G78" s="129"/>
      <c r="H78" s="125"/>
      <c r="I78" s="130"/>
      <c r="J78" s="131"/>
      <c r="K78" s="125"/>
      <c r="L78" s="125"/>
      <c r="M78" s="125"/>
      <c r="N78" s="125"/>
      <c r="O78" s="129"/>
      <c r="Q78" s="128">
        <f t="shared" si="10"/>
        <v>0</v>
      </c>
      <c r="R78" s="127">
        <f t="shared" si="11"/>
        <v>0</v>
      </c>
      <c r="S78" s="127">
        <f t="shared" si="11"/>
        <v>0</v>
      </c>
      <c r="T78" s="127">
        <f t="shared" si="11"/>
        <v>0</v>
      </c>
      <c r="U78" s="127">
        <f t="shared" si="11"/>
        <v>0</v>
      </c>
      <c r="V78" s="127">
        <f t="shared" si="11"/>
        <v>0</v>
      </c>
      <c r="W78" s="127">
        <f t="shared" si="11"/>
        <v>0</v>
      </c>
    </row>
    <row r="79" spans="1:23" ht="12.75">
      <c r="A79" s="130"/>
      <c r="B79" s="131"/>
      <c r="C79" s="125"/>
      <c r="D79" s="125"/>
      <c r="E79" s="125"/>
      <c r="F79" s="125"/>
      <c r="G79" s="129"/>
      <c r="H79" s="125"/>
      <c r="I79" s="130"/>
      <c r="J79" s="131"/>
      <c r="K79" s="125"/>
      <c r="L79" s="125"/>
      <c r="M79" s="125"/>
      <c r="N79" s="125"/>
      <c r="O79" s="129"/>
      <c r="Q79" s="128">
        <f t="shared" si="10"/>
        <v>0</v>
      </c>
      <c r="R79" s="127">
        <f t="shared" si="11"/>
        <v>0</v>
      </c>
      <c r="S79" s="127">
        <f t="shared" si="11"/>
        <v>0</v>
      </c>
      <c r="T79" s="127">
        <f t="shared" si="11"/>
        <v>0</v>
      </c>
      <c r="U79" s="127">
        <f t="shared" si="11"/>
        <v>0</v>
      </c>
      <c r="V79" s="127">
        <f t="shared" si="11"/>
        <v>0</v>
      </c>
      <c r="W79" s="127">
        <f t="shared" si="11"/>
        <v>0</v>
      </c>
    </row>
    <row r="80" spans="1:23" ht="12.75">
      <c r="A80" s="130"/>
      <c r="B80" s="131"/>
      <c r="C80" s="125"/>
      <c r="D80" s="125"/>
      <c r="E80" s="125"/>
      <c r="F80" s="125"/>
      <c r="G80" s="129"/>
      <c r="H80" s="125"/>
      <c r="I80" s="130"/>
      <c r="J80" s="131"/>
      <c r="K80" s="125"/>
      <c r="L80" s="125"/>
      <c r="M80" s="125"/>
      <c r="N80" s="125"/>
      <c r="O80" s="129"/>
      <c r="Q80" s="128">
        <f t="shared" si="10"/>
        <v>0</v>
      </c>
      <c r="R80" s="127">
        <f t="shared" si="11"/>
        <v>0</v>
      </c>
      <c r="S80" s="127">
        <f t="shared" si="11"/>
        <v>0</v>
      </c>
      <c r="T80" s="127">
        <f t="shared" si="11"/>
        <v>0</v>
      </c>
      <c r="U80" s="127">
        <f t="shared" si="11"/>
        <v>0</v>
      </c>
      <c r="V80" s="127">
        <f t="shared" si="11"/>
        <v>0</v>
      </c>
      <c r="W80" s="127">
        <f t="shared" si="11"/>
        <v>0</v>
      </c>
    </row>
    <row r="81" spans="1:23" ht="12.75">
      <c r="A81" s="130"/>
      <c r="B81" s="131"/>
      <c r="C81" s="125"/>
      <c r="D81" s="125"/>
      <c r="E81" s="125"/>
      <c r="F81" s="125"/>
      <c r="G81" s="129"/>
      <c r="H81" s="125"/>
      <c r="I81" s="130"/>
      <c r="J81" s="131"/>
      <c r="K81" s="125"/>
      <c r="L81" s="125"/>
      <c r="M81" s="125"/>
      <c r="N81" s="125"/>
      <c r="O81" s="129"/>
      <c r="Q81" s="128">
        <f t="shared" si="10"/>
        <v>0</v>
      </c>
      <c r="R81" s="127">
        <f t="shared" si="11"/>
        <v>0</v>
      </c>
      <c r="S81" s="127">
        <f t="shared" si="11"/>
        <v>0</v>
      </c>
      <c r="T81" s="127">
        <f t="shared" si="11"/>
        <v>0</v>
      </c>
      <c r="U81" s="127">
        <f t="shared" si="11"/>
        <v>0</v>
      </c>
      <c r="V81" s="127">
        <f t="shared" si="11"/>
        <v>0</v>
      </c>
      <c r="W81" s="127">
        <f t="shared" si="11"/>
        <v>0</v>
      </c>
    </row>
    <row r="82" spans="1:23" ht="12.75">
      <c r="A82" s="130"/>
      <c r="B82" s="131"/>
      <c r="C82" s="125"/>
      <c r="D82" s="125"/>
      <c r="E82" s="125"/>
      <c r="F82" s="125"/>
      <c r="G82" s="129"/>
      <c r="H82" s="125"/>
      <c r="I82" s="130"/>
      <c r="J82" s="131"/>
      <c r="K82" s="125"/>
      <c r="L82" s="125"/>
      <c r="M82" s="125"/>
      <c r="N82" s="125"/>
      <c r="O82" s="129"/>
      <c r="Q82" s="128">
        <f t="shared" si="10"/>
        <v>0</v>
      </c>
      <c r="R82" s="127">
        <f t="shared" si="11"/>
        <v>0</v>
      </c>
      <c r="S82" s="127">
        <f t="shared" si="11"/>
        <v>0</v>
      </c>
      <c r="T82" s="127">
        <f t="shared" si="11"/>
        <v>0</v>
      </c>
      <c r="U82" s="127">
        <f t="shared" si="11"/>
        <v>0</v>
      </c>
      <c r="V82" s="127">
        <f t="shared" si="11"/>
        <v>0</v>
      </c>
      <c r="W82" s="127">
        <f t="shared" si="11"/>
        <v>0</v>
      </c>
    </row>
    <row r="83" spans="1:23" ht="12.75">
      <c r="A83" s="130"/>
      <c r="B83" s="131"/>
      <c r="C83" s="125"/>
      <c r="D83" s="125"/>
      <c r="E83" s="125"/>
      <c r="F83" s="125"/>
      <c r="G83" s="129"/>
      <c r="H83" s="125"/>
      <c r="I83" s="130"/>
      <c r="J83" s="131"/>
      <c r="K83" s="125"/>
      <c r="L83" s="125"/>
      <c r="M83" s="125"/>
      <c r="N83" s="125"/>
      <c r="O83" s="129"/>
      <c r="Q83" s="128">
        <f t="shared" si="10"/>
        <v>0</v>
      </c>
      <c r="R83" s="127">
        <f t="shared" si="11"/>
        <v>0</v>
      </c>
      <c r="S83" s="127">
        <f t="shared" si="11"/>
        <v>0</v>
      </c>
      <c r="T83" s="127">
        <f t="shared" si="11"/>
        <v>0</v>
      </c>
      <c r="U83" s="127">
        <f t="shared" si="11"/>
        <v>0</v>
      </c>
      <c r="V83" s="127">
        <f t="shared" si="11"/>
        <v>0</v>
      </c>
      <c r="W83" s="127">
        <f t="shared" si="11"/>
        <v>0</v>
      </c>
    </row>
    <row r="84" spans="1:23" ht="12.75">
      <c r="A84" s="130"/>
      <c r="B84" s="131"/>
      <c r="C84" s="125"/>
      <c r="D84" s="125"/>
      <c r="E84" s="125"/>
      <c r="F84" s="125"/>
      <c r="G84" s="129"/>
      <c r="H84" s="125"/>
      <c r="I84" s="130"/>
      <c r="J84" s="131"/>
      <c r="K84" s="125"/>
      <c r="L84" s="125"/>
      <c r="M84" s="125"/>
      <c r="N84" s="125"/>
      <c r="O84" s="129"/>
      <c r="Q84" s="128">
        <f t="shared" si="10"/>
        <v>0</v>
      </c>
      <c r="R84" s="127">
        <f t="shared" si="11"/>
        <v>0</v>
      </c>
      <c r="S84" s="127">
        <f t="shared" si="11"/>
        <v>0</v>
      </c>
      <c r="T84" s="127">
        <f t="shared" si="11"/>
        <v>0</v>
      </c>
      <c r="U84" s="127">
        <f t="shared" si="11"/>
        <v>0</v>
      </c>
      <c r="V84" s="127">
        <f t="shared" si="11"/>
        <v>0</v>
      </c>
      <c r="W84" s="127">
        <f t="shared" si="11"/>
        <v>0</v>
      </c>
    </row>
    <row r="85" spans="1:23" ht="12.75">
      <c r="A85" s="134"/>
      <c r="B85" s="135"/>
      <c r="C85" s="132"/>
      <c r="D85" s="132"/>
      <c r="E85" s="132"/>
      <c r="F85" s="132"/>
      <c r="G85" s="133"/>
      <c r="H85" s="125"/>
      <c r="I85" s="134"/>
      <c r="J85" s="135"/>
      <c r="K85" s="132"/>
      <c r="L85" s="132"/>
      <c r="M85" s="132"/>
      <c r="N85" s="132"/>
      <c r="O85" s="133"/>
      <c r="Q85" s="128">
        <f t="shared" si="10"/>
        <v>0</v>
      </c>
      <c r="R85" s="127">
        <f t="shared" si="11"/>
        <v>0</v>
      </c>
      <c r="S85" s="127">
        <f t="shared" si="11"/>
        <v>0</v>
      </c>
      <c r="T85" s="127">
        <f t="shared" si="11"/>
        <v>0</v>
      </c>
      <c r="U85" s="127">
        <f t="shared" si="11"/>
        <v>0</v>
      </c>
      <c r="V85" s="127">
        <f t="shared" si="11"/>
        <v>0</v>
      </c>
      <c r="W85" s="127">
        <f t="shared" si="11"/>
        <v>0</v>
      </c>
    </row>
    <row r="86" spans="5:15" ht="12.75">
      <c r="E86" s="136"/>
      <c r="F86" s="136"/>
      <c r="G86" s="136"/>
      <c r="H86" s="136"/>
      <c r="M86" s="136"/>
      <c r="N86" s="136"/>
      <c r="O86" s="136"/>
    </row>
    <row r="87" spans="5:15" ht="12.75">
      <c r="E87" s="136"/>
      <c r="F87" s="136"/>
      <c r="G87" s="136"/>
      <c r="H87" s="136"/>
      <c r="M87" s="136"/>
      <c r="N87" s="136"/>
      <c r="O87" s="136"/>
    </row>
    <row r="88" spans="1:15" ht="12.75">
      <c r="A88" s="146"/>
      <c r="E88" s="136"/>
      <c r="F88" s="136"/>
      <c r="G88" s="136"/>
      <c r="H88" s="136"/>
      <c r="I88" s="146"/>
      <c r="M88" s="136"/>
      <c r="N88" s="136"/>
      <c r="O88" s="136"/>
    </row>
    <row r="89" spans="5:15" ht="12.75">
      <c r="E89" s="136"/>
      <c r="F89" s="136"/>
      <c r="G89" s="136"/>
      <c r="H89" s="136"/>
      <c r="M89" s="136"/>
      <c r="N89" s="136"/>
      <c r="O89" s="136"/>
    </row>
    <row r="90" spans="5:15" ht="12.75">
      <c r="E90" s="136"/>
      <c r="F90" s="136"/>
      <c r="G90" s="136"/>
      <c r="H90" s="136"/>
      <c r="M90" s="136"/>
      <c r="N90" s="136"/>
      <c r="O90" s="136"/>
    </row>
    <row r="91" spans="5:15" ht="12.75">
      <c r="E91" s="136"/>
      <c r="F91" s="136"/>
      <c r="G91" s="136"/>
      <c r="H91" s="136"/>
      <c r="M91" s="136"/>
      <c r="N91" s="136"/>
      <c r="O91" s="136"/>
    </row>
    <row r="92" spans="5:15" ht="12.75">
      <c r="E92" s="136"/>
      <c r="F92" s="136"/>
      <c r="G92" s="136"/>
      <c r="H92" s="136"/>
      <c r="M92" s="136"/>
      <c r="N92" s="136"/>
      <c r="O92" s="136"/>
    </row>
    <row r="93" spans="5:15" ht="12.75">
      <c r="E93" s="136"/>
      <c r="F93" s="136"/>
      <c r="G93" s="136"/>
      <c r="H93" s="136"/>
      <c r="M93" s="136"/>
      <c r="N93" s="136"/>
      <c r="O93" s="136"/>
    </row>
  </sheetData>
  <printOptions/>
  <pageMargins left="0.75" right="0.75" top="1" bottom="1" header="0.4921259845" footer="0.4921259845"/>
  <pageSetup fitToHeight="1" fitToWidth="1" horizontalDpi="300" verticalDpi="300" orientation="portrait" paperSize="9" scale="52" r:id="rId1"/>
  <headerFooter alignWithMargins="0">
    <oddHeader>&amp;C&amp;A</oddHeader>
    <oddFooter>&amp;LPTB 1.401&amp;CSeite &amp;P&amp;R&amp;D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W93"/>
  <sheetViews>
    <sheetView zoomScale="75" zoomScaleNormal="75" workbookViewId="0" topLeftCell="A1">
      <selection activeCell="F37" sqref="F37"/>
    </sheetView>
  </sheetViews>
  <sheetFormatPr defaultColWidth="11.5546875" defaultRowHeight="15"/>
  <cols>
    <col min="1" max="1" width="7.77734375" style="128" customWidth="1"/>
    <col min="2" max="16" width="6.77734375" style="128" customWidth="1"/>
    <col min="17" max="17" width="11.5546875" style="128" customWidth="1" collapsed="1"/>
    <col min="18" max="16384" width="11.5546875" style="128" customWidth="1"/>
  </cols>
  <sheetData>
    <row r="1" spans="1:10" ht="13.5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6" ht="13.5" thickBot="1">
      <c r="A2" s="3"/>
      <c r="B2" s="4"/>
      <c r="F2" s="196"/>
    </row>
    <row r="3" ht="12.75">
      <c r="F3" s="196"/>
    </row>
    <row r="4" spans="2:8" ht="12.75">
      <c r="B4" s="196"/>
      <c r="E4" s="196"/>
      <c r="H4" s="196"/>
    </row>
    <row r="5" spans="1:7" ht="12.75">
      <c r="A5" s="150"/>
      <c r="B5" s="151"/>
      <c r="C5" s="197"/>
      <c r="D5" s="152"/>
      <c r="G5" s="150"/>
    </row>
    <row r="6" spans="1:3" ht="12" customHeight="1">
      <c r="A6" s="153"/>
      <c r="B6" s="151"/>
      <c r="C6" s="197"/>
    </row>
    <row r="7" spans="2:3" ht="12.75">
      <c r="B7" s="151"/>
      <c r="C7" s="197"/>
    </row>
    <row r="8" spans="1:7" ht="12.75">
      <c r="A8" s="150"/>
      <c r="B8" s="151"/>
      <c r="C8" s="151"/>
      <c r="G8" s="196"/>
    </row>
    <row r="9" spans="1:7" ht="12.75">
      <c r="A9" s="150"/>
      <c r="B9" s="151"/>
      <c r="C9" s="151"/>
      <c r="G9" s="196"/>
    </row>
    <row r="11" ht="12.75">
      <c r="I11" s="196"/>
    </row>
    <row r="12" spans="5:9" ht="12.75">
      <c r="E12" s="196"/>
      <c r="I12" s="196"/>
    </row>
    <row r="13" spans="1:2" ht="12.75">
      <c r="A13" s="82"/>
      <c r="B13" s="82"/>
    </row>
    <row r="14" ht="12.75">
      <c r="Q14" s="128" t="s">
        <v>32</v>
      </c>
    </row>
    <row r="15" spans="1:18" ht="12.75">
      <c r="A15" s="155"/>
      <c r="B15" s="156"/>
      <c r="E15" s="136"/>
      <c r="F15" s="136"/>
      <c r="G15" s="136"/>
      <c r="H15" s="136"/>
      <c r="I15" s="136"/>
      <c r="J15" s="198"/>
      <c r="K15" s="136"/>
      <c r="L15" s="136"/>
      <c r="M15" s="136"/>
      <c r="N15" s="136"/>
      <c r="Q15" s="128">
        <f>+A15</f>
        <v>0</v>
      </c>
      <c r="R15" s="128">
        <f>+B15</f>
        <v>0</v>
      </c>
    </row>
    <row r="16" spans="1:23" ht="12.75">
      <c r="A16" s="142"/>
      <c r="B16" s="140"/>
      <c r="C16" s="140"/>
      <c r="D16" s="139"/>
      <c r="E16" s="139"/>
      <c r="F16" s="140"/>
      <c r="G16" s="139"/>
      <c r="H16" s="141"/>
      <c r="I16" s="141"/>
      <c r="J16" s="157"/>
      <c r="K16" s="157"/>
      <c r="L16" s="157"/>
      <c r="M16" s="157"/>
      <c r="N16" s="157"/>
      <c r="O16" s="157"/>
      <c r="P16" s="157"/>
      <c r="Q16" s="128">
        <f>+A16</f>
        <v>0</v>
      </c>
      <c r="R16" s="128">
        <f>+B16</f>
        <v>0</v>
      </c>
      <c r="S16" s="128">
        <f>+C16</f>
        <v>0</v>
      </c>
      <c r="T16" s="128">
        <f>+D16</f>
        <v>0</v>
      </c>
      <c r="U16" s="128">
        <f>+E16</f>
        <v>0</v>
      </c>
      <c r="V16" s="128">
        <f>+F16</f>
        <v>0</v>
      </c>
      <c r="W16" s="128">
        <f>+G16</f>
        <v>0</v>
      </c>
    </row>
    <row r="17" spans="1:23" ht="12.75">
      <c r="A17" s="130"/>
      <c r="B17" s="199"/>
      <c r="C17" s="200"/>
      <c r="D17" s="200"/>
      <c r="E17" s="181"/>
      <c r="F17" s="200"/>
      <c r="G17" s="201"/>
      <c r="H17" s="125"/>
      <c r="I17" s="125"/>
      <c r="J17" s="157"/>
      <c r="K17" s="158"/>
      <c r="L17" s="158"/>
      <c r="M17" s="158"/>
      <c r="N17" s="158"/>
      <c r="O17" s="158"/>
      <c r="P17" s="158"/>
      <c r="Q17" s="128">
        <f aca="true" t="shared" si="0" ref="Q17:Q25">+A17</f>
        <v>0</v>
      </c>
      <c r="R17" s="127">
        <f aca="true" t="shared" si="1" ref="R17:W25">+B17-J17</f>
        <v>0</v>
      </c>
      <c r="S17" s="127">
        <f t="shared" si="1"/>
        <v>0</v>
      </c>
      <c r="T17" s="127">
        <f t="shared" si="1"/>
        <v>0</v>
      </c>
      <c r="U17" s="127">
        <f t="shared" si="1"/>
        <v>0</v>
      </c>
      <c r="V17" s="127">
        <f t="shared" si="1"/>
        <v>0</v>
      </c>
      <c r="W17" s="127">
        <f t="shared" si="1"/>
        <v>0</v>
      </c>
    </row>
    <row r="18" spans="1:23" ht="12.75">
      <c r="A18" s="130"/>
      <c r="B18" s="202"/>
      <c r="C18" s="181"/>
      <c r="D18" s="181"/>
      <c r="E18" s="181"/>
      <c r="F18" s="181"/>
      <c r="G18" s="203"/>
      <c r="H18" s="125"/>
      <c r="I18" s="125"/>
      <c r="J18" s="157"/>
      <c r="K18" s="158"/>
      <c r="L18" s="158"/>
      <c r="M18" s="158"/>
      <c r="N18" s="158"/>
      <c r="O18" s="158"/>
      <c r="P18" s="158"/>
      <c r="Q18" s="128">
        <f t="shared" si="0"/>
        <v>0</v>
      </c>
      <c r="R18" s="127">
        <f t="shared" si="1"/>
        <v>0</v>
      </c>
      <c r="S18" s="127">
        <f t="shared" si="1"/>
        <v>0</v>
      </c>
      <c r="T18" s="127">
        <f t="shared" si="1"/>
        <v>0</v>
      </c>
      <c r="U18" s="127">
        <f t="shared" si="1"/>
        <v>0</v>
      </c>
      <c r="V18" s="127">
        <f t="shared" si="1"/>
        <v>0</v>
      </c>
      <c r="W18" s="127">
        <f t="shared" si="1"/>
        <v>0</v>
      </c>
    </row>
    <row r="19" spans="1:23" ht="12.75">
      <c r="A19" s="130"/>
      <c r="B19" s="204"/>
      <c r="C19" s="205"/>
      <c r="D19" s="205"/>
      <c r="E19" s="205"/>
      <c r="F19" s="205"/>
      <c r="G19" s="206"/>
      <c r="H19" s="125"/>
      <c r="I19" s="125"/>
      <c r="J19" s="157"/>
      <c r="K19" s="158"/>
      <c r="L19" s="158"/>
      <c r="M19" s="158"/>
      <c r="N19" s="158"/>
      <c r="O19" s="158"/>
      <c r="P19" s="158"/>
      <c r="Q19" s="128">
        <f t="shared" si="0"/>
        <v>0</v>
      </c>
      <c r="R19" s="127">
        <f t="shared" si="1"/>
        <v>0</v>
      </c>
      <c r="S19" s="127">
        <f t="shared" si="1"/>
        <v>0</v>
      </c>
      <c r="T19" s="127">
        <f t="shared" si="1"/>
        <v>0</v>
      </c>
      <c r="U19" s="127">
        <f t="shared" si="1"/>
        <v>0</v>
      </c>
      <c r="V19" s="127">
        <f t="shared" si="1"/>
        <v>0</v>
      </c>
      <c r="W19" s="127">
        <f t="shared" si="1"/>
        <v>0</v>
      </c>
    </row>
    <row r="20" spans="1:23" ht="12.75">
      <c r="A20" s="130"/>
      <c r="B20" s="204"/>
      <c r="C20" s="205"/>
      <c r="D20" s="205"/>
      <c r="E20" s="205"/>
      <c r="F20" s="205"/>
      <c r="G20" s="206"/>
      <c r="H20" s="125"/>
      <c r="I20" s="125"/>
      <c r="J20" s="157"/>
      <c r="K20" s="158"/>
      <c r="L20" s="158"/>
      <c r="M20" s="158"/>
      <c r="N20" s="158"/>
      <c r="O20" s="158"/>
      <c r="P20" s="158"/>
      <c r="Q20" s="128">
        <f t="shared" si="0"/>
        <v>0</v>
      </c>
      <c r="R20" s="127">
        <f t="shared" si="1"/>
        <v>0</v>
      </c>
      <c r="S20" s="127">
        <f t="shared" si="1"/>
        <v>0</v>
      </c>
      <c r="T20" s="127">
        <f t="shared" si="1"/>
        <v>0</v>
      </c>
      <c r="U20" s="127">
        <f t="shared" si="1"/>
        <v>0</v>
      </c>
      <c r="V20" s="127">
        <f t="shared" si="1"/>
        <v>0</v>
      </c>
      <c r="W20" s="127">
        <f t="shared" si="1"/>
        <v>0</v>
      </c>
    </row>
    <row r="21" spans="1:23" ht="12.75">
      <c r="A21" s="130"/>
      <c r="B21" s="204"/>
      <c r="C21" s="205"/>
      <c r="D21" s="205"/>
      <c r="E21" s="205"/>
      <c r="F21" s="205"/>
      <c r="G21" s="206"/>
      <c r="H21" s="125"/>
      <c r="I21" s="125"/>
      <c r="J21" s="157"/>
      <c r="K21" s="158"/>
      <c r="L21" s="158"/>
      <c r="M21" s="158"/>
      <c r="N21" s="158"/>
      <c r="O21" s="158"/>
      <c r="P21" s="158"/>
      <c r="Q21" s="128">
        <f t="shared" si="0"/>
        <v>0</v>
      </c>
      <c r="R21" s="127">
        <f t="shared" si="1"/>
        <v>0</v>
      </c>
      <c r="S21" s="127">
        <f t="shared" si="1"/>
        <v>0</v>
      </c>
      <c r="T21" s="127">
        <f t="shared" si="1"/>
        <v>0</v>
      </c>
      <c r="U21" s="127">
        <f t="shared" si="1"/>
        <v>0</v>
      </c>
      <c r="V21" s="127">
        <f t="shared" si="1"/>
        <v>0</v>
      </c>
      <c r="W21" s="127">
        <f t="shared" si="1"/>
        <v>0</v>
      </c>
    </row>
    <row r="22" spans="1:23" ht="12.75">
      <c r="A22" s="130"/>
      <c r="B22" s="204"/>
      <c r="C22" s="205"/>
      <c r="D22" s="205"/>
      <c r="E22" s="205"/>
      <c r="F22" s="205"/>
      <c r="G22" s="206"/>
      <c r="H22" s="125"/>
      <c r="I22" s="125"/>
      <c r="J22" s="157"/>
      <c r="K22" s="158"/>
      <c r="L22" s="158"/>
      <c r="M22" s="158"/>
      <c r="N22" s="158"/>
      <c r="O22" s="158"/>
      <c r="P22" s="158"/>
      <c r="Q22" s="128">
        <f t="shared" si="0"/>
        <v>0</v>
      </c>
      <c r="R22" s="127">
        <f t="shared" si="1"/>
        <v>0</v>
      </c>
      <c r="S22" s="127">
        <f t="shared" si="1"/>
        <v>0</v>
      </c>
      <c r="T22" s="127">
        <f t="shared" si="1"/>
        <v>0</v>
      </c>
      <c r="U22" s="127">
        <f t="shared" si="1"/>
        <v>0</v>
      </c>
      <c r="V22" s="127">
        <f t="shared" si="1"/>
        <v>0</v>
      </c>
      <c r="W22" s="127">
        <f t="shared" si="1"/>
        <v>0</v>
      </c>
    </row>
    <row r="23" spans="1:23" ht="12.75">
      <c r="A23" s="130"/>
      <c r="B23" s="204"/>
      <c r="C23" s="205"/>
      <c r="D23" s="205"/>
      <c r="E23" s="205"/>
      <c r="F23" s="205"/>
      <c r="G23" s="206"/>
      <c r="H23" s="125"/>
      <c r="I23" s="125"/>
      <c r="J23" s="125"/>
      <c r="K23" s="125"/>
      <c r="L23" s="125"/>
      <c r="M23" s="125"/>
      <c r="N23" s="136"/>
      <c r="Q23" s="128">
        <f t="shared" si="0"/>
        <v>0</v>
      </c>
      <c r="R23" s="127">
        <f t="shared" si="1"/>
        <v>0</v>
      </c>
      <c r="S23" s="127">
        <f t="shared" si="1"/>
        <v>0</v>
      </c>
      <c r="T23" s="127">
        <f t="shared" si="1"/>
        <v>0</v>
      </c>
      <c r="U23" s="127">
        <f t="shared" si="1"/>
        <v>0</v>
      </c>
      <c r="V23" s="127">
        <f t="shared" si="1"/>
        <v>0</v>
      </c>
      <c r="W23" s="127">
        <f t="shared" si="1"/>
        <v>0</v>
      </c>
    </row>
    <row r="24" spans="1:23" ht="12.75">
      <c r="A24" s="130"/>
      <c r="B24" s="204"/>
      <c r="C24" s="205"/>
      <c r="D24" s="205"/>
      <c r="E24" s="205"/>
      <c r="F24" s="205"/>
      <c r="G24" s="206"/>
      <c r="H24" s="125"/>
      <c r="I24" s="125"/>
      <c r="J24" s="125"/>
      <c r="K24" s="125"/>
      <c r="L24" s="125"/>
      <c r="M24" s="125"/>
      <c r="N24" s="136"/>
      <c r="Q24" s="128">
        <f t="shared" si="0"/>
        <v>0</v>
      </c>
      <c r="R24" s="127">
        <f t="shared" si="1"/>
        <v>0</v>
      </c>
      <c r="S24" s="127">
        <f t="shared" si="1"/>
        <v>0</v>
      </c>
      <c r="T24" s="127">
        <f t="shared" si="1"/>
        <v>0</v>
      </c>
      <c r="U24" s="127">
        <f t="shared" si="1"/>
        <v>0</v>
      </c>
      <c r="V24" s="127">
        <f t="shared" si="1"/>
        <v>0</v>
      </c>
      <c r="W24" s="127">
        <f t="shared" si="1"/>
        <v>0</v>
      </c>
    </row>
    <row r="25" spans="1:23" ht="12.75">
      <c r="A25" s="134"/>
      <c r="B25" s="207"/>
      <c r="C25" s="208"/>
      <c r="D25" s="208"/>
      <c r="E25" s="208"/>
      <c r="F25" s="208"/>
      <c r="G25" s="209"/>
      <c r="H25" s="125"/>
      <c r="I25" s="125"/>
      <c r="J25" s="125"/>
      <c r="K25" s="125"/>
      <c r="L25" s="125"/>
      <c r="M25" s="125"/>
      <c r="N25" s="136"/>
      <c r="Q25" s="128">
        <f t="shared" si="0"/>
        <v>0</v>
      </c>
      <c r="R25" s="127">
        <f t="shared" si="1"/>
        <v>0</v>
      </c>
      <c r="S25" s="127">
        <f t="shared" si="1"/>
        <v>0</v>
      </c>
      <c r="T25" s="127">
        <f t="shared" si="1"/>
        <v>0</v>
      </c>
      <c r="U25" s="127">
        <f t="shared" si="1"/>
        <v>0</v>
      </c>
      <c r="V25" s="127">
        <f t="shared" si="1"/>
        <v>0</v>
      </c>
      <c r="W25" s="127">
        <f t="shared" si="1"/>
        <v>0</v>
      </c>
    </row>
    <row r="26" spans="5:14" ht="12.75">
      <c r="E26" s="136"/>
      <c r="F26" s="136"/>
      <c r="G26" s="136"/>
      <c r="H26" s="136"/>
      <c r="I26" s="136"/>
      <c r="J26" s="136"/>
      <c r="K26" s="136"/>
      <c r="L26" s="136"/>
      <c r="M26" s="136"/>
      <c r="N26" s="136"/>
    </row>
    <row r="27" spans="1:18" ht="12.75">
      <c r="A27" s="155"/>
      <c r="B27" s="156"/>
      <c r="E27" s="136"/>
      <c r="F27" s="136"/>
      <c r="G27" s="136"/>
      <c r="H27" s="136"/>
      <c r="I27" s="136"/>
      <c r="J27" s="198"/>
      <c r="K27" s="136"/>
      <c r="L27" s="136"/>
      <c r="M27" s="136"/>
      <c r="N27" s="136"/>
      <c r="Q27" s="128">
        <f>+A27</f>
        <v>0</v>
      </c>
      <c r="R27" s="128">
        <f>+B27</f>
        <v>0</v>
      </c>
    </row>
    <row r="28" spans="1:23" ht="12.75">
      <c r="A28" s="142"/>
      <c r="B28" s="140"/>
      <c r="C28" s="140"/>
      <c r="D28" s="139"/>
      <c r="E28" s="139"/>
      <c r="F28" s="140"/>
      <c r="G28" s="139"/>
      <c r="H28" s="141"/>
      <c r="I28" s="141"/>
      <c r="J28" s="141"/>
      <c r="K28" s="141"/>
      <c r="L28" s="141"/>
      <c r="M28" s="141"/>
      <c r="N28" s="136"/>
      <c r="Q28" s="128">
        <f>+A28</f>
        <v>0</v>
      </c>
      <c r="R28" s="128">
        <f>+B28</f>
        <v>0</v>
      </c>
      <c r="S28" s="128">
        <f>+C28</f>
        <v>0</v>
      </c>
      <c r="T28" s="128">
        <f>+D28</f>
        <v>0</v>
      </c>
      <c r="U28" s="128">
        <f>+E28</f>
        <v>0</v>
      </c>
      <c r="V28" s="128">
        <f>+F28</f>
        <v>0</v>
      </c>
      <c r="W28" s="128">
        <f>+G28</f>
        <v>0</v>
      </c>
    </row>
    <row r="29" spans="1:23" ht="12.75">
      <c r="A29" s="130"/>
      <c r="B29" s="199"/>
      <c r="C29" s="200"/>
      <c r="D29" s="200"/>
      <c r="E29" s="181"/>
      <c r="F29" s="200"/>
      <c r="G29" s="201"/>
      <c r="H29" s="125"/>
      <c r="I29" s="125"/>
      <c r="J29" s="125"/>
      <c r="K29" s="125"/>
      <c r="L29" s="125"/>
      <c r="M29" s="125"/>
      <c r="N29" s="136"/>
      <c r="Q29" s="128">
        <f aca="true" t="shared" si="2" ref="Q29:Q37">+A29</f>
        <v>0</v>
      </c>
      <c r="R29" s="127">
        <f aca="true" t="shared" si="3" ref="R29:W37">+B29-J29</f>
        <v>0</v>
      </c>
      <c r="S29" s="127">
        <f t="shared" si="3"/>
        <v>0</v>
      </c>
      <c r="T29" s="127">
        <f t="shared" si="3"/>
        <v>0</v>
      </c>
      <c r="U29" s="127">
        <f t="shared" si="3"/>
        <v>0</v>
      </c>
      <c r="V29" s="127">
        <f t="shared" si="3"/>
        <v>0</v>
      </c>
      <c r="W29" s="127">
        <f t="shared" si="3"/>
        <v>0</v>
      </c>
    </row>
    <row r="30" spans="1:23" ht="12.75">
      <c r="A30" s="130"/>
      <c r="B30" s="202"/>
      <c r="C30" s="181"/>
      <c r="D30" s="181"/>
      <c r="E30" s="181"/>
      <c r="F30" s="181"/>
      <c r="G30" s="203"/>
      <c r="H30" s="125"/>
      <c r="I30" s="125"/>
      <c r="J30" s="125"/>
      <c r="K30" s="125"/>
      <c r="L30" s="125"/>
      <c r="M30" s="125"/>
      <c r="N30" s="136"/>
      <c r="Q30" s="128">
        <f t="shared" si="2"/>
        <v>0</v>
      </c>
      <c r="R30" s="127">
        <f t="shared" si="3"/>
        <v>0</v>
      </c>
      <c r="S30" s="127">
        <f t="shared" si="3"/>
        <v>0</v>
      </c>
      <c r="T30" s="127">
        <f t="shared" si="3"/>
        <v>0</v>
      </c>
      <c r="U30" s="127">
        <f t="shared" si="3"/>
        <v>0</v>
      </c>
      <c r="V30" s="127">
        <f t="shared" si="3"/>
        <v>0</v>
      </c>
      <c r="W30" s="127">
        <f t="shared" si="3"/>
        <v>0</v>
      </c>
    </row>
    <row r="31" spans="1:23" ht="12.75">
      <c r="A31" s="130"/>
      <c r="B31" s="204"/>
      <c r="C31" s="205"/>
      <c r="D31" s="205"/>
      <c r="E31" s="205"/>
      <c r="F31" s="205"/>
      <c r="G31" s="206"/>
      <c r="H31" s="125"/>
      <c r="I31" s="125"/>
      <c r="J31" s="125"/>
      <c r="K31" s="125"/>
      <c r="L31" s="125"/>
      <c r="M31" s="125"/>
      <c r="N31" s="136"/>
      <c r="Q31" s="128">
        <f t="shared" si="2"/>
        <v>0</v>
      </c>
      <c r="R31" s="127">
        <f t="shared" si="3"/>
        <v>0</v>
      </c>
      <c r="S31" s="127">
        <f t="shared" si="3"/>
        <v>0</v>
      </c>
      <c r="T31" s="127">
        <f t="shared" si="3"/>
        <v>0</v>
      </c>
      <c r="U31" s="127">
        <f t="shared" si="3"/>
        <v>0</v>
      </c>
      <c r="V31" s="127">
        <f t="shared" si="3"/>
        <v>0</v>
      </c>
      <c r="W31" s="127">
        <f t="shared" si="3"/>
        <v>0</v>
      </c>
    </row>
    <row r="32" spans="1:23" ht="12.75">
      <c r="A32" s="130"/>
      <c r="B32" s="204"/>
      <c r="C32" s="205"/>
      <c r="D32" s="205"/>
      <c r="E32" s="205"/>
      <c r="F32" s="205"/>
      <c r="G32" s="206"/>
      <c r="H32" s="125"/>
      <c r="I32" s="125"/>
      <c r="J32" s="125"/>
      <c r="K32" s="125"/>
      <c r="L32" s="125"/>
      <c r="M32" s="125"/>
      <c r="N32" s="136"/>
      <c r="Q32" s="128">
        <f t="shared" si="2"/>
        <v>0</v>
      </c>
      <c r="R32" s="127">
        <f t="shared" si="3"/>
        <v>0</v>
      </c>
      <c r="S32" s="127">
        <f t="shared" si="3"/>
        <v>0</v>
      </c>
      <c r="T32" s="127">
        <f t="shared" si="3"/>
        <v>0</v>
      </c>
      <c r="U32" s="127">
        <f t="shared" si="3"/>
        <v>0</v>
      </c>
      <c r="V32" s="127">
        <f t="shared" si="3"/>
        <v>0</v>
      </c>
      <c r="W32" s="127">
        <f t="shared" si="3"/>
        <v>0</v>
      </c>
    </row>
    <row r="33" spans="1:23" ht="12.75">
      <c r="A33" s="130"/>
      <c r="B33" s="204"/>
      <c r="C33" s="205"/>
      <c r="D33" s="205"/>
      <c r="E33" s="205"/>
      <c r="F33" s="205"/>
      <c r="G33" s="206"/>
      <c r="H33" s="125"/>
      <c r="I33" s="125"/>
      <c r="J33" s="125"/>
      <c r="K33" s="125"/>
      <c r="L33" s="125"/>
      <c r="M33" s="125"/>
      <c r="N33" s="136"/>
      <c r="Q33" s="128">
        <f t="shared" si="2"/>
        <v>0</v>
      </c>
      <c r="R33" s="127">
        <f t="shared" si="3"/>
        <v>0</v>
      </c>
      <c r="S33" s="127">
        <f t="shared" si="3"/>
        <v>0</v>
      </c>
      <c r="T33" s="127">
        <f t="shared" si="3"/>
        <v>0</v>
      </c>
      <c r="U33" s="127">
        <f t="shared" si="3"/>
        <v>0</v>
      </c>
      <c r="V33" s="127">
        <f t="shared" si="3"/>
        <v>0</v>
      </c>
      <c r="W33" s="127">
        <f t="shared" si="3"/>
        <v>0</v>
      </c>
    </row>
    <row r="34" spans="1:23" ht="12.75">
      <c r="A34" s="130"/>
      <c r="B34" s="204"/>
      <c r="C34" s="205"/>
      <c r="D34" s="205"/>
      <c r="E34" s="205"/>
      <c r="F34" s="205"/>
      <c r="G34" s="206"/>
      <c r="H34" s="125"/>
      <c r="I34" s="125"/>
      <c r="J34" s="125"/>
      <c r="K34" s="125"/>
      <c r="L34" s="125"/>
      <c r="M34" s="125"/>
      <c r="N34" s="136"/>
      <c r="Q34" s="128">
        <f t="shared" si="2"/>
        <v>0</v>
      </c>
      <c r="R34" s="127">
        <f t="shared" si="3"/>
        <v>0</v>
      </c>
      <c r="S34" s="127">
        <f t="shared" si="3"/>
        <v>0</v>
      </c>
      <c r="T34" s="127">
        <f t="shared" si="3"/>
        <v>0</v>
      </c>
      <c r="U34" s="127">
        <f t="shared" si="3"/>
        <v>0</v>
      </c>
      <c r="V34" s="127">
        <f t="shared" si="3"/>
        <v>0</v>
      </c>
      <c r="W34" s="127">
        <f t="shared" si="3"/>
        <v>0</v>
      </c>
    </row>
    <row r="35" spans="1:23" ht="12.75">
      <c r="A35" s="130"/>
      <c r="B35" s="204"/>
      <c r="C35" s="205"/>
      <c r="D35" s="205"/>
      <c r="E35" s="205"/>
      <c r="F35" s="205"/>
      <c r="G35" s="206"/>
      <c r="H35" s="125"/>
      <c r="I35" s="125"/>
      <c r="J35" s="125"/>
      <c r="K35" s="125"/>
      <c r="L35" s="125"/>
      <c r="M35" s="125"/>
      <c r="N35" s="136"/>
      <c r="Q35" s="128">
        <f t="shared" si="2"/>
        <v>0</v>
      </c>
      <c r="R35" s="127">
        <f t="shared" si="3"/>
        <v>0</v>
      </c>
      <c r="S35" s="127">
        <f t="shared" si="3"/>
        <v>0</v>
      </c>
      <c r="T35" s="127">
        <f t="shared" si="3"/>
        <v>0</v>
      </c>
      <c r="U35" s="127">
        <f t="shared" si="3"/>
        <v>0</v>
      </c>
      <c r="V35" s="127">
        <f t="shared" si="3"/>
        <v>0</v>
      </c>
      <c r="W35" s="127">
        <f t="shared" si="3"/>
        <v>0</v>
      </c>
    </row>
    <row r="36" spans="1:23" ht="12.75">
      <c r="A36" s="130"/>
      <c r="B36" s="204"/>
      <c r="C36" s="205"/>
      <c r="D36" s="205"/>
      <c r="E36" s="205"/>
      <c r="F36" s="205"/>
      <c r="G36" s="206"/>
      <c r="H36" s="125"/>
      <c r="I36" s="125"/>
      <c r="J36" s="125"/>
      <c r="K36" s="125"/>
      <c r="L36" s="125"/>
      <c r="M36" s="125"/>
      <c r="N36" s="136"/>
      <c r="Q36" s="128">
        <f t="shared" si="2"/>
        <v>0</v>
      </c>
      <c r="R36" s="127">
        <f t="shared" si="3"/>
        <v>0</v>
      </c>
      <c r="S36" s="127">
        <f t="shared" si="3"/>
        <v>0</v>
      </c>
      <c r="T36" s="127">
        <f t="shared" si="3"/>
        <v>0</v>
      </c>
      <c r="U36" s="127">
        <f t="shared" si="3"/>
        <v>0</v>
      </c>
      <c r="V36" s="127">
        <f t="shared" si="3"/>
        <v>0</v>
      </c>
      <c r="W36" s="127">
        <f t="shared" si="3"/>
        <v>0</v>
      </c>
    </row>
    <row r="37" spans="1:23" ht="12.75">
      <c r="A37" s="134"/>
      <c r="B37" s="207"/>
      <c r="C37" s="208"/>
      <c r="D37" s="208"/>
      <c r="E37" s="208"/>
      <c r="F37" s="208"/>
      <c r="G37" s="209"/>
      <c r="H37" s="125"/>
      <c r="I37" s="125"/>
      <c r="J37" s="125"/>
      <c r="K37" s="125"/>
      <c r="L37" s="125"/>
      <c r="M37" s="125"/>
      <c r="N37" s="136"/>
      <c r="Q37" s="128">
        <f t="shared" si="2"/>
        <v>0</v>
      </c>
      <c r="R37" s="127">
        <f t="shared" si="3"/>
        <v>0</v>
      </c>
      <c r="S37" s="127">
        <f t="shared" si="3"/>
        <v>0</v>
      </c>
      <c r="T37" s="127">
        <f t="shared" si="3"/>
        <v>0</v>
      </c>
      <c r="U37" s="127">
        <f t="shared" si="3"/>
        <v>0</v>
      </c>
      <c r="V37" s="127">
        <f t="shared" si="3"/>
        <v>0</v>
      </c>
      <c r="W37" s="127">
        <f t="shared" si="3"/>
        <v>0</v>
      </c>
    </row>
    <row r="38" spans="5:14" ht="12.75">
      <c r="E38" s="136"/>
      <c r="F38" s="136"/>
      <c r="G38" s="136"/>
      <c r="H38" s="136"/>
      <c r="I38" s="136"/>
      <c r="J38" s="136"/>
      <c r="K38" s="136"/>
      <c r="L38" s="136"/>
      <c r="M38" s="136"/>
      <c r="N38" s="136"/>
    </row>
    <row r="39" spans="1:18" ht="12.75">
      <c r="A39" s="155"/>
      <c r="B39" s="156"/>
      <c r="E39" s="136"/>
      <c r="F39" s="136"/>
      <c r="G39" s="136"/>
      <c r="H39" s="136"/>
      <c r="I39" s="136"/>
      <c r="J39" s="198"/>
      <c r="K39" s="136"/>
      <c r="L39" s="136"/>
      <c r="M39" s="136"/>
      <c r="N39" s="136"/>
      <c r="Q39" s="128">
        <f>+A39</f>
        <v>0</v>
      </c>
      <c r="R39" s="128">
        <f>+B39</f>
        <v>0</v>
      </c>
    </row>
    <row r="40" spans="1:23" ht="12.75">
      <c r="A40" s="142"/>
      <c r="B40" s="140"/>
      <c r="C40" s="140"/>
      <c r="D40" s="139"/>
      <c r="E40" s="139"/>
      <c r="F40" s="140"/>
      <c r="G40" s="139"/>
      <c r="H40" s="141"/>
      <c r="I40" s="141"/>
      <c r="J40" s="141"/>
      <c r="K40" s="141"/>
      <c r="L40" s="141"/>
      <c r="M40" s="141"/>
      <c r="N40" s="136"/>
      <c r="Q40" s="128">
        <f>+A40</f>
        <v>0</v>
      </c>
      <c r="R40" s="128">
        <f>+B40</f>
        <v>0</v>
      </c>
      <c r="S40" s="128">
        <f>+C40</f>
        <v>0</v>
      </c>
      <c r="T40" s="128">
        <f>+D40</f>
        <v>0</v>
      </c>
      <c r="U40" s="128">
        <f>+E40</f>
        <v>0</v>
      </c>
      <c r="V40" s="128">
        <f>+F40</f>
        <v>0</v>
      </c>
      <c r="W40" s="128">
        <f>+G40</f>
        <v>0</v>
      </c>
    </row>
    <row r="41" spans="1:23" ht="12.75">
      <c r="A41" s="130"/>
      <c r="B41" s="199"/>
      <c r="C41" s="200"/>
      <c r="D41" s="200"/>
      <c r="E41" s="181"/>
      <c r="F41" s="200"/>
      <c r="G41" s="201"/>
      <c r="H41" s="125"/>
      <c r="I41" s="125"/>
      <c r="J41" s="125"/>
      <c r="K41" s="125"/>
      <c r="L41" s="125"/>
      <c r="M41" s="125"/>
      <c r="N41" s="136"/>
      <c r="Q41" s="128">
        <f aca="true" t="shared" si="4" ref="Q41:Q49">+A41</f>
        <v>0</v>
      </c>
      <c r="R41" s="127">
        <f aca="true" t="shared" si="5" ref="R41:W49">+B41-J41</f>
        <v>0</v>
      </c>
      <c r="S41" s="127">
        <f t="shared" si="5"/>
        <v>0</v>
      </c>
      <c r="T41" s="127">
        <f t="shared" si="5"/>
        <v>0</v>
      </c>
      <c r="U41" s="127">
        <f t="shared" si="5"/>
        <v>0</v>
      </c>
      <c r="V41" s="127">
        <f t="shared" si="5"/>
        <v>0</v>
      </c>
      <c r="W41" s="127">
        <f t="shared" si="5"/>
        <v>0</v>
      </c>
    </row>
    <row r="42" spans="1:23" ht="12.75">
      <c r="A42" s="130"/>
      <c r="B42" s="202"/>
      <c r="C42" s="181"/>
      <c r="D42" s="181"/>
      <c r="E42" s="181"/>
      <c r="F42" s="181"/>
      <c r="G42" s="203"/>
      <c r="H42" s="125"/>
      <c r="I42" s="125"/>
      <c r="J42" s="125"/>
      <c r="K42" s="125"/>
      <c r="L42" s="125"/>
      <c r="M42" s="125"/>
      <c r="N42" s="136"/>
      <c r="Q42" s="128">
        <f t="shared" si="4"/>
        <v>0</v>
      </c>
      <c r="R42" s="127">
        <f t="shared" si="5"/>
        <v>0</v>
      </c>
      <c r="S42" s="127">
        <f t="shared" si="5"/>
        <v>0</v>
      </c>
      <c r="T42" s="127">
        <f t="shared" si="5"/>
        <v>0</v>
      </c>
      <c r="U42" s="127">
        <f t="shared" si="5"/>
        <v>0</v>
      </c>
      <c r="V42" s="127">
        <f t="shared" si="5"/>
        <v>0</v>
      </c>
      <c r="W42" s="127">
        <f t="shared" si="5"/>
        <v>0</v>
      </c>
    </row>
    <row r="43" spans="1:23" ht="12.75">
      <c r="A43" s="130"/>
      <c r="B43" s="204"/>
      <c r="C43" s="205"/>
      <c r="D43" s="205"/>
      <c r="E43" s="205"/>
      <c r="F43" s="205"/>
      <c r="G43" s="206"/>
      <c r="H43" s="125"/>
      <c r="I43" s="125"/>
      <c r="J43" s="125"/>
      <c r="K43" s="125"/>
      <c r="L43" s="125"/>
      <c r="M43" s="125"/>
      <c r="N43" s="136"/>
      <c r="Q43" s="128">
        <f t="shared" si="4"/>
        <v>0</v>
      </c>
      <c r="R43" s="127">
        <f t="shared" si="5"/>
        <v>0</v>
      </c>
      <c r="S43" s="127">
        <f t="shared" si="5"/>
        <v>0</v>
      </c>
      <c r="T43" s="127">
        <f t="shared" si="5"/>
        <v>0</v>
      </c>
      <c r="U43" s="127">
        <f t="shared" si="5"/>
        <v>0</v>
      </c>
      <c r="V43" s="127">
        <f t="shared" si="5"/>
        <v>0</v>
      </c>
      <c r="W43" s="127">
        <f t="shared" si="5"/>
        <v>0</v>
      </c>
    </row>
    <row r="44" spans="1:23" ht="12.75">
      <c r="A44" s="130"/>
      <c r="B44" s="204"/>
      <c r="C44" s="205"/>
      <c r="D44" s="205"/>
      <c r="E44" s="205"/>
      <c r="F44" s="205"/>
      <c r="G44" s="206"/>
      <c r="H44" s="125"/>
      <c r="I44" s="125"/>
      <c r="J44" s="125"/>
      <c r="K44" s="125"/>
      <c r="L44" s="125"/>
      <c r="M44" s="125"/>
      <c r="N44" s="136"/>
      <c r="Q44" s="128">
        <f t="shared" si="4"/>
        <v>0</v>
      </c>
      <c r="R44" s="127">
        <f t="shared" si="5"/>
        <v>0</v>
      </c>
      <c r="S44" s="127">
        <f t="shared" si="5"/>
        <v>0</v>
      </c>
      <c r="T44" s="127">
        <f t="shared" si="5"/>
        <v>0</v>
      </c>
      <c r="U44" s="127">
        <f t="shared" si="5"/>
        <v>0</v>
      </c>
      <c r="V44" s="127">
        <f t="shared" si="5"/>
        <v>0</v>
      </c>
      <c r="W44" s="127">
        <f t="shared" si="5"/>
        <v>0</v>
      </c>
    </row>
    <row r="45" spans="1:23" ht="12.75">
      <c r="A45" s="130"/>
      <c r="B45" s="204"/>
      <c r="C45" s="205"/>
      <c r="D45" s="205"/>
      <c r="E45" s="205"/>
      <c r="F45" s="205"/>
      <c r="G45" s="206"/>
      <c r="H45" s="125"/>
      <c r="I45" s="125"/>
      <c r="J45" s="125"/>
      <c r="K45" s="125"/>
      <c r="L45" s="125"/>
      <c r="M45" s="125"/>
      <c r="N45" s="136"/>
      <c r="Q45" s="128">
        <f t="shared" si="4"/>
        <v>0</v>
      </c>
      <c r="R45" s="127">
        <f t="shared" si="5"/>
        <v>0</v>
      </c>
      <c r="S45" s="127">
        <f t="shared" si="5"/>
        <v>0</v>
      </c>
      <c r="T45" s="127">
        <f t="shared" si="5"/>
        <v>0</v>
      </c>
      <c r="U45" s="127">
        <f t="shared" si="5"/>
        <v>0</v>
      </c>
      <c r="V45" s="127">
        <f t="shared" si="5"/>
        <v>0</v>
      </c>
      <c r="W45" s="127">
        <f t="shared" si="5"/>
        <v>0</v>
      </c>
    </row>
    <row r="46" spans="1:23" ht="12.75">
      <c r="A46" s="130"/>
      <c r="B46" s="204"/>
      <c r="C46" s="205"/>
      <c r="D46" s="205"/>
      <c r="E46" s="205"/>
      <c r="F46" s="205"/>
      <c r="G46" s="206"/>
      <c r="H46" s="125"/>
      <c r="I46" s="125"/>
      <c r="J46" s="125"/>
      <c r="K46" s="125"/>
      <c r="L46" s="125"/>
      <c r="M46" s="125"/>
      <c r="N46" s="136"/>
      <c r="Q46" s="128">
        <f t="shared" si="4"/>
        <v>0</v>
      </c>
      <c r="R46" s="127">
        <f t="shared" si="5"/>
        <v>0</v>
      </c>
      <c r="S46" s="127">
        <f t="shared" si="5"/>
        <v>0</v>
      </c>
      <c r="T46" s="127">
        <f t="shared" si="5"/>
        <v>0</v>
      </c>
      <c r="U46" s="127">
        <f t="shared" si="5"/>
        <v>0</v>
      </c>
      <c r="V46" s="127">
        <f t="shared" si="5"/>
        <v>0</v>
      </c>
      <c r="W46" s="127">
        <f t="shared" si="5"/>
        <v>0</v>
      </c>
    </row>
    <row r="47" spans="1:23" ht="12.75">
      <c r="A47" s="130"/>
      <c r="B47" s="204"/>
      <c r="C47" s="205"/>
      <c r="D47" s="205"/>
      <c r="E47" s="205"/>
      <c r="F47" s="205"/>
      <c r="G47" s="206"/>
      <c r="H47" s="125"/>
      <c r="I47" s="125"/>
      <c r="J47" s="125"/>
      <c r="K47" s="125"/>
      <c r="L47" s="125"/>
      <c r="M47" s="125"/>
      <c r="N47" s="136"/>
      <c r="Q47" s="128">
        <f t="shared" si="4"/>
        <v>0</v>
      </c>
      <c r="R47" s="127">
        <f t="shared" si="5"/>
        <v>0</v>
      </c>
      <c r="S47" s="127">
        <f t="shared" si="5"/>
        <v>0</v>
      </c>
      <c r="T47" s="127">
        <f t="shared" si="5"/>
        <v>0</v>
      </c>
      <c r="U47" s="127">
        <f t="shared" si="5"/>
        <v>0</v>
      </c>
      <c r="V47" s="127">
        <f t="shared" si="5"/>
        <v>0</v>
      </c>
      <c r="W47" s="127">
        <f t="shared" si="5"/>
        <v>0</v>
      </c>
    </row>
    <row r="48" spans="1:23" ht="12.75">
      <c r="A48" s="130"/>
      <c r="B48" s="204"/>
      <c r="C48" s="205"/>
      <c r="D48" s="205"/>
      <c r="E48" s="205"/>
      <c r="F48" s="205"/>
      <c r="G48" s="206"/>
      <c r="H48" s="125"/>
      <c r="I48" s="125"/>
      <c r="J48" s="125"/>
      <c r="K48" s="125"/>
      <c r="L48" s="125"/>
      <c r="M48" s="125"/>
      <c r="N48" s="136"/>
      <c r="Q48" s="128">
        <f t="shared" si="4"/>
        <v>0</v>
      </c>
      <c r="R48" s="127">
        <f t="shared" si="5"/>
        <v>0</v>
      </c>
      <c r="S48" s="127">
        <f t="shared" si="5"/>
        <v>0</v>
      </c>
      <c r="T48" s="127">
        <f t="shared" si="5"/>
        <v>0</v>
      </c>
      <c r="U48" s="127">
        <f t="shared" si="5"/>
        <v>0</v>
      </c>
      <c r="V48" s="127">
        <f t="shared" si="5"/>
        <v>0</v>
      </c>
      <c r="W48" s="127">
        <f t="shared" si="5"/>
        <v>0</v>
      </c>
    </row>
    <row r="49" spans="1:23" ht="12.75">
      <c r="A49" s="134"/>
      <c r="B49" s="207"/>
      <c r="C49" s="208"/>
      <c r="D49" s="208"/>
      <c r="E49" s="208"/>
      <c r="F49" s="208"/>
      <c r="G49" s="209"/>
      <c r="H49" s="125"/>
      <c r="I49" s="125"/>
      <c r="J49" s="125"/>
      <c r="K49" s="125"/>
      <c r="L49" s="125"/>
      <c r="M49" s="125"/>
      <c r="N49" s="136"/>
      <c r="Q49" s="128">
        <f t="shared" si="4"/>
        <v>0</v>
      </c>
      <c r="R49" s="127">
        <f t="shared" si="5"/>
        <v>0</v>
      </c>
      <c r="S49" s="127">
        <f t="shared" si="5"/>
        <v>0</v>
      </c>
      <c r="T49" s="127">
        <f t="shared" si="5"/>
        <v>0</v>
      </c>
      <c r="U49" s="127">
        <f t="shared" si="5"/>
        <v>0</v>
      </c>
      <c r="V49" s="127">
        <f t="shared" si="5"/>
        <v>0</v>
      </c>
      <c r="W49" s="127">
        <f t="shared" si="5"/>
        <v>0</v>
      </c>
    </row>
    <row r="50" spans="5:23" ht="12.75"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R50" s="127"/>
      <c r="S50" s="127"/>
      <c r="T50" s="127"/>
      <c r="U50" s="127"/>
      <c r="V50" s="127"/>
      <c r="W50" s="127"/>
    </row>
    <row r="51" spans="1:18" ht="12.75">
      <c r="A51" s="155"/>
      <c r="B51" s="156"/>
      <c r="E51" s="136"/>
      <c r="F51" s="136"/>
      <c r="G51" s="136"/>
      <c r="H51" s="136"/>
      <c r="I51" s="136"/>
      <c r="J51" s="198"/>
      <c r="K51" s="136"/>
      <c r="L51" s="136"/>
      <c r="M51" s="136"/>
      <c r="N51" s="136"/>
      <c r="Q51" s="128">
        <f>+A51</f>
        <v>0</v>
      </c>
      <c r="R51" s="128">
        <f>+B51</f>
        <v>0</v>
      </c>
    </row>
    <row r="52" spans="1:23" ht="12.75">
      <c r="A52" s="142"/>
      <c r="B52" s="140"/>
      <c r="C52" s="140"/>
      <c r="D52" s="139"/>
      <c r="E52" s="139"/>
      <c r="F52" s="140"/>
      <c r="G52" s="139"/>
      <c r="H52" s="141"/>
      <c r="I52" s="141"/>
      <c r="J52" s="141"/>
      <c r="K52" s="141"/>
      <c r="L52" s="141"/>
      <c r="M52" s="141"/>
      <c r="N52" s="136"/>
      <c r="Q52" s="128">
        <f>+A52</f>
        <v>0</v>
      </c>
      <c r="R52" s="128">
        <f>+B52</f>
        <v>0</v>
      </c>
      <c r="S52" s="128">
        <f>+C52</f>
        <v>0</v>
      </c>
      <c r="T52" s="128">
        <f>+D52</f>
        <v>0</v>
      </c>
      <c r="U52" s="128">
        <f>+E52</f>
        <v>0</v>
      </c>
      <c r="V52" s="128">
        <f>+F52</f>
        <v>0</v>
      </c>
      <c r="W52" s="128">
        <f>+G52</f>
        <v>0</v>
      </c>
    </row>
    <row r="53" spans="1:23" ht="12.75">
      <c r="A53" s="130"/>
      <c r="B53" s="199"/>
      <c r="C53" s="200"/>
      <c r="D53" s="200"/>
      <c r="E53" s="181"/>
      <c r="F53" s="200"/>
      <c r="G53" s="201"/>
      <c r="H53" s="125"/>
      <c r="I53" s="125"/>
      <c r="J53" s="125"/>
      <c r="K53" s="125"/>
      <c r="L53" s="125"/>
      <c r="M53" s="125"/>
      <c r="N53" s="136"/>
      <c r="Q53" s="128">
        <f aca="true" t="shared" si="6" ref="Q53:Q61">+A53</f>
        <v>0</v>
      </c>
      <c r="R53" s="127">
        <f aca="true" t="shared" si="7" ref="R53:W61">+B53-J53</f>
        <v>0</v>
      </c>
      <c r="S53" s="127">
        <f t="shared" si="7"/>
        <v>0</v>
      </c>
      <c r="T53" s="127">
        <f t="shared" si="7"/>
        <v>0</v>
      </c>
      <c r="U53" s="127">
        <f t="shared" si="7"/>
        <v>0</v>
      </c>
      <c r="V53" s="127">
        <f t="shared" si="7"/>
        <v>0</v>
      </c>
      <c r="W53" s="127">
        <f t="shared" si="7"/>
        <v>0</v>
      </c>
    </row>
    <row r="54" spans="1:23" ht="12.75">
      <c r="A54" s="130"/>
      <c r="B54" s="202"/>
      <c r="C54" s="181"/>
      <c r="D54" s="181"/>
      <c r="E54" s="181"/>
      <c r="F54" s="181"/>
      <c r="G54" s="203"/>
      <c r="H54" s="125"/>
      <c r="I54" s="125"/>
      <c r="J54" s="125"/>
      <c r="K54" s="125"/>
      <c r="L54" s="125"/>
      <c r="M54" s="125"/>
      <c r="N54" s="136"/>
      <c r="Q54" s="128">
        <f t="shared" si="6"/>
        <v>0</v>
      </c>
      <c r="R54" s="127">
        <f t="shared" si="7"/>
        <v>0</v>
      </c>
      <c r="S54" s="127">
        <f t="shared" si="7"/>
        <v>0</v>
      </c>
      <c r="T54" s="127">
        <f t="shared" si="7"/>
        <v>0</v>
      </c>
      <c r="U54" s="127">
        <f t="shared" si="7"/>
        <v>0</v>
      </c>
      <c r="V54" s="127">
        <f t="shared" si="7"/>
        <v>0</v>
      </c>
      <c r="W54" s="127">
        <f t="shared" si="7"/>
        <v>0</v>
      </c>
    </row>
    <row r="55" spans="1:23" ht="12.75">
      <c r="A55" s="130"/>
      <c r="B55" s="204"/>
      <c r="C55" s="205"/>
      <c r="D55" s="205"/>
      <c r="E55" s="205"/>
      <c r="F55" s="205"/>
      <c r="G55" s="206"/>
      <c r="H55" s="125"/>
      <c r="I55" s="125"/>
      <c r="J55" s="125"/>
      <c r="K55" s="125"/>
      <c r="L55" s="125"/>
      <c r="M55" s="125"/>
      <c r="N55" s="136"/>
      <c r="Q55" s="128">
        <f t="shared" si="6"/>
        <v>0</v>
      </c>
      <c r="R55" s="127">
        <f t="shared" si="7"/>
        <v>0</v>
      </c>
      <c r="S55" s="127">
        <f t="shared" si="7"/>
        <v>0</v>
      </c>
      <c r="T55" s="127">
        <f t="shared" si="7"/>
        <v>0</v>
      </c>
      <c r="U55" s="127">
        <f t="shared" si="7"/>
        <v>0</v>
      </c>
      <c r="V55" s="127">
        <f t="shared" si="7"/>
        <v>0</v>
      </c>
      <c r="W55" s="127">
        <f t="shared" si="7"/>
        <v>0</v>
      </c>
    </row>
    <row r="56" spans="1:23" ht="12.75">
      <c r="A56" s="130"/>
      <c r="B56" s="204"/>
      <c r="C56" s="205"/>
      <c r="D56" s="205"/>
      <c r="E56" s="205"/>
      <c r="F56" s="205"/>
      <c r="G56" s="206"/>
      <c r="H56" s="125"/>
      <c r="I56" s="125"/>
      <c r="J56" s="125"/>
      <c r="K56" s="125"/>
      <c r="L56" s="125"/>
      <c r="M56" s="125"/>
      <c r="N56" s="136"/>
      <c r="Q56" s="128">
        <f t="shared" si="6"/>
        <v>0</v>
      </c>
      <c r="R56" s="127">
        <f t="shared" si="7"/>
        <v>0</v>
      </c>
      <c r="S56" s="127">
        <f t="shared" si="7"/>
        <v>0</v>
      </c>
      <c r="T56" s="127">
        <f t="shared" si="7"/>
        <v>0</v>
      </c>
      <c r="U56" s="127">
        <f t="shared" si="7"/>
        <v>0</v>
      </c>
      <c r="V56" s="127">
        <f t="shared" si="7"/>
        <v>0</v>
      </c>
      <c r="W56" s="127">
        <f t="shared" si="7"/>
        <v>0</v>
      </c>
    </row>
    <row r="57" spans="1:23" ht="13.5" customHeight="1">
      <c r="A57" s="130"/>
      <c r="B57" s="204"/>
      <c r="C57" s="205"/>
      <c r="D57" s="205"/>
      <c r="E57" s="205"/>
      <c r="F57" s="205"/>
      <c r="G57" s="206"/>
      <c r="H57" s="125"/>
      <c r="I57" s="125"/>
      <c r="J57" s="125"/>
      <c r="K57" s="125"/>
      <c r="L57" s="125"/>
      <c r="M57" s="125"/>
      <c r="N57" s="136"/>
      <c r="Q57" s="128">
        <f t="shared" si="6"/>
        <v>0</v>
      </c>
      <c r="R57" s="127">
        <f t="shared" si="7"/>
        <v>0</v>
      </c>
      <c r="S57" s="127">
        <f t="shared" si="7"/>
        <v>0</v>
      </c>
      <c r="T57" s="127">
        <f t="shared" si="7"/>
        <v>0</v>
      </c>
      <c r="U57" s="127">
        <f t="shared" si="7"/>
        <v>0</v>
      </c>
      <c r="V57" s="127">
        <f t="shared" si="7"/>
        <v>0</v>
      </c>
      <c r="W57" s="127">
        <f t="shared" si="7"/>
        <v>0</v>
      </c>
    </row>
    <row r="58" spans="1:23" ht="12" customHeight="1">
      <c r="A58" s="130"/>
      <c r="B58" s="204"/>
      <c r="C58" s="205"/>
      <c r="D58" s="205"/>
      <c r="E58" s="205"/>
      <c r="F58" s="205"/>
      <c r="G58" s="206"/>
      <c r="H58" s="125"/>
      <c r="I58" s="125"/>
      <c r="J58" s="125"/>
      <c r="K58" s="125"/>
      <c r="L58" s="125"/>
      <c r="M58" s="125"/>
      <c r="N58" s="136"/>
      <c r="Q58" s="128">
        <f t="shared" si="6"/>
        <v>0</v>
      </c>
      <c r="R58" s="127">
        <f t="shared" si="7"/>
        <v>0</v>
      </c>
      <c r="S58" s="127">
        <f t="shared" si="7"/>
        <v>0</v>
      </c>
      <c r="T58" s="127">
        <f t="shared" si="7"/>
        <v>0</v>
      </c>
      <c r="U58" s="127">
        <f t="shared" si="7"/>
        <v>0</v>
      </c>
      <c r="V58" s="127">
        <f t="shared" si="7"/>
        <v>0</v>
      </c>
      <c r="W58" s="127">
        <f t="shared" si="7"/>
        <v>0</v>
      </c>
    </row>
    <row r="59" spans="1:23" ht="12.75">
      <c r="A59" s="130"/>
      <c r="B59" s="204"/>
      <c r="C59" s="205"/>
      <c r="D59" s="205"/>
      <c r="E59" s="205"/>
      <c r="F59" s="205"/>
      <c r="G59" s="206"/>
      <c r="H59" s="125"/>
      <c r="I59" s="125"/>
      <c r="J59" s="125"/>
      <c r="K59" s="125"/>
      <c r="L59" s="125"/>
      <c r="M59" s="125"/>
      <c r="N59" s="136"/>
      <c r="Q59" s="128">
        <f t="shared" si="6"/>
        <v>0</v>
      </c>
      <c r="R59" s="127">
        <f t="shared" si="7"/>
        <v>0</v>
      </c>
      <c r="S59" s="127">
        <f t="shared" si="7"/>
        <v>0</v>
      </c>
      <c r="T59" s="127">
        <f t="shared" si="7"/>
        <v>0</v>
      </c>
      <c r="U59" s="127">
        <f t="shared" si="7"/>
        <v>0</v>
      </c>
      <c r="V59" s="127">
        <f t="shared" si="7"/>
        <v>0</v>
      </c>
      <c r="W59" s="127">
        <f t="shared" si="7"/>
        <v>0</v>
      </c>
    </row>
    <row r="60" spans="1:23" ht="12.75">
      <c r="A60" s="130"/>
      <c r="B60" s="204"/>
      <c r="C60" s="205"/>
      <c r="D60" s="205"/>
      <c r="E60" s="205"/>
      <c r="F60" s="205"/>
      <c r="G60" s="206"/>
      <c r="H60" s="125"/>
      <c r="I60" s="125"/>
      <c r="J60" s="125"/>
      <c r="K60" s="125"/>
      <c r="L60" s="125"/>
      <c r="M60" s="125"/>
      <c r="N60" s="136"/>
      <c r="Q60" s="128">
        <f t="shared" si="6"/>
        <v>0</v>
      </c>
      <c r="R60" s="127">
        <f t="shared" si="7"/>
        <v>0</v>
      </c>
      <c r="S60" s="127">
        <f t="shared" si="7"/>
        <v>0</v>
      </c>
      <c r="T60" s="127">
        <f t="shared" si="7"/>
        <v>0</v>
      </c>
      <c r="U60" s="127">
        <f t="shared" si="7"/>
        <v>0</v>
      </c>
      <c r="V60" s="127">
        <f t="shared" si="7"/>
        <v>0</v>
      </c>
      <c r="W60" s="127">
        <f t="shared" si="7"/>
        <v>0</v>
      </c>
    </row>
    <row r="61" spans="1:23" ht="12.75">
      <c r="A61" s="134"/>
      <c r="B61" s="207"/>
      <c r="C61" s="208"/>
      <c r="D61" s="208"/>
      <c r="E61" s="208"/>
      <c r="F61" s="208"/>
      <c r="G61" s="209"/>
      <c r="H61" s="125"/>
      <c r="I61" s="125"/>
      <c r="J61" s="125"/>
      <c r="K61" s="125"/>
      <c r="L61" s="125"/>
      <c r="M61" s="125"/>
      <c r="N61" s="136"/>
      <c r="Q61" s="128">
        <f t="shared" si="6"/>
        <v>0</v>
      </c>
      <c r="R61" s="127">
        <f t="shared" si="7"/>
        <v>0</v>
      </c>
      <c r="S61" s="127">
        <f t="shared" si="7"/>
        <v>0</v>
      </c>
      <c r="T61" s="127">
        <f t="shared" si="7"/>
        <v>0</v>
      </c>
      <c r="U61" s="127">
        <f t="shared" si="7"/>
        <v>0</v>
      </c>
      <c r="V61" s="127">
        <f t="shared" si="7"/>
        <v>0</v>
      </c>
      <c r="W61" s="127">
        <f t="shared" si="7"/>
        <v>0</v>
      </c>
    </row>
    <row r="62" spans="5:14" ht="12.75">
      <c r="E62" s="136"/>
      <c r="F62" s="136"/>
      <c r="G62" s="136"/>
      <c r="H62" s="136"/>
      <c r="I62" s="136"/>
      <c r="J62" s="136"/>
      <c r="K62" s="136"/>
      <c r="L62" s="136"/>
      <c r="M62" s="136"/>
      <c r="N62" s="136"/>
    </row>
    <row r="63" spans="1:18" ht="12.75">
      <c r="A63" s="155"/>
      <c r="B63" s="156"/>
      <c r="E63" s="136"/>
      <c r="F63" s="136"/>
      <c r="G63" s="136"/>
      <c r="H63" s="136"/>
      <c r="I63" s="136"/>
      <c r="J63" s="198"/>
      <c r="K63" s="136"/>
      <c r="L63" s="136"/>
      <c r="M63" s="136"/>
      <c r="N63" s="136"/>
      <c r="Q63" s="128">
        <f>+A63</f>
        <v>0</v>
      </c>
      <c r="R63" s="128">
        <f>+B63</f>
        <v>0</v>
      </c>
    </row>
    <row r="64" spans="1:23" ht="12.75">
      <c r="A64" s="142"/>
      <c r="B64" s="140"/>
      <c r="C64" s="140"/>
      <c r="D64" s="139"/>
      <c r="E64" s="139"/>
      <c r="F64" s="140"/>
      <c r="G64" s="139"/>
      <c r="H64" s="141"/>
      <c r="I64" s="141"/>
      <c r="J64" s="141"/>
      <c r="K64" s="141"/>
      <c r="L64" s="141"/>
      <c r="M64" s="141"/>
      <c r="N64" s="136"/>
      <c r="Q64" s="128">
        <f>+A64</f>
        <v>0</v>
      </c>
      <c r="R64" s="128">
        <f>+B64</f>
        <v>0</v>
      </c>
      <c r="S64" s="128">
        <f>+C64</f>
        <v>0</v>
      </c>
      <c r="T64" s="128">
        <f>+D64</f>
        <v>0</v>
      </c>
      <c r="U64" s="128">
        <f>+E64</f>
        <v>0</v>
      </c>
      <c r="V64" s="128">
        <f>+F64</f>
        <v>0</v>
      </c>
      <c r="W64" s="128">
        <f>+G64</f>
        <v>0</v>
      </c>
    </row>
    <row r="65" spans="1:23" ht="12.75">
      <c r="A65" s="130"/>
      <c r="B65" s="199"/>
      <c r="C65" s="200"/>
      <c r="D65" s="200"/>
      <c r="E65" s="181"/>
      <c r="F65" s="200"/>
      <c r="G65" s="201"/>
      <c r="H65" s="125"/>
      <c r="I65" s="125"/>
      <c r="J65" s="125"/>
      <c r="K65" s="125"/>
      <c r="L65" s="125"/>
      <c r="M65" s="125"/>
      <c r="N65" s="136"/>
      <c r="Q65" s="128">
        <f aca="true" t="shared" si="8" ref="Q65:Q73">+A65</f>
        <v>0</v>
      </c>
      <c r="R65" s="127">
        <f aca="true" t="shared" si="9" ref="R65:W73">+B65-J65</f>
        <v>0</v>
      </c>
      <c r="S65" s="127">
        <f t="shared" si="9"/>
        <v>0</v>
      </c>
      <c r="T65" s="127">
        <f t="shared" si="9"/>
        <v>0</v>
      </c>
      <c r="U65" s="127">
        <f t="shared" si="9"/>
        <v>0</v>
      </c>
      <c r="V65" s="127">
        <f t="shared" si="9"/>
        <v>0</v>
      </c>
      <c r="W65" s="127">
        <f t="shared" si="9"/>
        <v>0</v>
      </c>
    </row>
    <row r="66" spans="1:23" ht="12.75">
      <c r="A66" s="130"/>
      <c r="B66" s="202"/>
      <c r="C66" s="181"/>
      <c r="D66" s="181"/>
      <c r="E66" s="181"/>
      <c r="F66" s="181"/>
      <c r="G66" s="203"/>
      <c r="H66" s="125"/>
      <c r="I66" s="125"/>
      <c r="J66" s="125"/>
      <c r="K66" s="125"/>
      <c r="L66" s="125"/>
      <c r="M66" s="125"/>
      <c r="N66" s="136"/>
      <c r="Q66" s="128">
        <f t="shared" si="8"/>
        <v>0</v>
      </c>
      <c r="R66" s="127">
        <f t="shared" si="9"/>
        <v>0</v>
      </c>
      <c r="S66" s="127">
        <f t="shared" si="9"/>
        <v>0</v>
      </c>
      <c r="T66" s="127">
        <f t="shared" si="9"/>
        <v>0</v>
      </c>
      <c r="U66" s="127">
        <f t="shared" si="9"/>
        <v>0</v>
      </c>
      <c r="V66" s="127">
        <f t="shared" si="9"/>
        <v>0</v>
      </c>
      <c r="W66" s="127">
        <f t="shared" si="9"/>
        <v>0</v>
      </c>
    </row>
    <row r="67" spans="1:23" ht="12.75">
      <c r="A67" s="130"/>
      <c r="B67" s="204"/>
      <c r="C67" s="205"/>
      <c r="D67" s="205"/>
      <c r="E67" s="205"/>
      <c r="F67" s="205"/>
      <c r="G67" s="206"/>
      <c r="H67" s="125"/>
      <c r="I67" s="125"/>
      <c r="J67" s="125"/>
      <c r="K67" s="125"/>
      <c r="L67" s="125"/>
      <c r="M67" s="125"/>
      <c r="N67" s="136"/>
      <c r="Q67" s="128">
        <f t="shared" si="8"/>
        <v>0</v>
      </c>
      <c r="R67" s="127">
        <f t="shared" si="9"/>
        <v>0</v>
      </c>
      <c r="S67" s="127">
        <f t="shared" si="9"/>
        <v>0</v>
      </c>
      <c r="T67" s="127">
        <f t="shared" si="9"/>
        <v>0</v>
      </c>
      <c r="U67" s="127">
        <f t="shared" si="9"/>
        <v>0</v>
      </c>
      <c r="V67" s="127">
        <f t="shared" si="9"/>
        <v>0</v>
      </c>
      <c r="W67" s="127">
        <f t="shared" si="9"/>
        <v>0</v>
      </c>
    </row>
    <row r="68" spans="1:23" ht="12.75">
      <c r="A68" s="130"/>
      <c r="B68" s="204"/>
      <c r="C68" s="205"/>
      <c r="D68" s="205"/>
      <c r="E68" s="205"/>
      <c r="F68" s="205"/>
      <c r="G68" s="206"/>
      <c r="H68" s="125"/>
      <c r="I68" s="125"/>
      <c r="J68" s="125"/>
      <c r="K68" s="125"/>
      <c r="L68" s="125"/>
      <c r="M68" s="125"/>
      <c r="N68" s="136"/>
      <c r="Q68" s="128">
        <f t="shared" si="8"/>
        <v>0</v>
      </c>
      <c r="R68" s="127">
        <f t="shared" si="9"/>
        <v>0</v>
      </c>
      <c r="S68" s="127">
        <f t="shared" si="9"/>
        <v>0</v>
      </c>
      <c r="T68" s="127">
        <f t="shared" si="9"/>
        <v>0</v>
      </c>
      <c r="U68" s="127">
        <f t="shared" si="9"/>
        <v>0</v>
      </c>
      <c r="V68" s="127">
        <f t="shared" si="9"/>
        <v>0</v>
      </c>
      <c r="W68" s="127">
        <f t="shared" si="9"/>
        <v>0</v>
      </c>
    </row>
    <row r="69" spans="1:23" ht="12.75">
      <c r="A69" s="130"/>
      <c r="B69" s="204"/>
      <c r="C69" s="205"/>
      <c r="D69" s="205"/>
      <c r="E69" s="205"/>
      <c r="F69" s="205"/>
      <c r="G69" s="206"/>
      <c r="H69" s="125"/>
      <c r="I69" s="125"/>
      <c r="J69" s="125"/>
      <c r="K69" s="125"/>
      <c r="L69" s="125"/>
      <c r="M69" s="125"/>
      <c r="N69" s="136"/>
      <c r="Q69" s="128">
        <f t="shared" si="8"/>
        <v>0</v>
      </c>
      <c r="R69" s="127">
        <f t="shared" si="9"/>
        <v>0</v>
      </c>
      <c r="S69" s="127">
        <f t="shared" si="9"/>
        <v>0</v>
      </c>
      <c r="T69" s="127">
        <f t="shared" si="9"/>
        <v>0</v>
      </c>
      <c r="U69" s="127">
        <f t="shared" si="9"/>
        <v>0</v>
      </c>
      <c r="V69" s="127">
        <f t="shared" si="9"/>
        <v>0</v>
      </c>
      <c r="W69" s="127">
        <f t="shared" si="9"/>
        <v>0</v>
      </c>
    </row>
    <row r="70" spans="1:23" ht="12.75">
      <c r="A70" s="130"/>
      <c r="B70" s="204"/>
      <c r="C70" s="205"/>
      <c r="D70" s="205"/>
      <c r="E70" s="205"/>
      <c r="F70" s="205"/>
      <c r="G70" s="206"/>
      <c r="H70" s="125"/>
      <c r="I70" s="125"/>
      <c r="J70" s="125"/>
      <c r="K70" s="125"/>
      <c r="L70" s="125"/>
      <c r="M70" s="125"/>
      <c r="N70" s="136"/>
      <c r="Q70" s="128">
        <f t="shared" si="8"/>
        <v>0</v>
      </c>
      <c r="R70" s="127">
        <f t="shared" si="9"/>
        <v>0</v>
      </c>
      <c r="S70" s="127">
        <f t="shared" si="9"/>
        <v>0</v>
      </c>
      <c r="T70" s="127">
        <f t="shared" si="9"/>
        <v>0</v>
      </c>
      <c r="U70" s="127">
        <f t="shared" si="9"/>
        <v>0</v>
      </c>
      <c r="V70" s="127">
        <f t="shared" si="9"/>
        <v>0</v>
      </c>
      <c r="W70" s="127">
        <f t="shared" si="9"/>
        <v>0</v>
      </c>
    </row>
    <row r="71" spans="1:23" ht="12.75">
      <c r="A71" s="130"/>
      <c r="B71" s="204"/>
      <c r="C71" s="205"/>
      <c r="D71" s="205"/>
      <c r="E71" s="205"/>
      <c r="F71" s="205"/>
      <c r="G71" s="206"/>
      <c r="H71" s="125"/>
      <c r="I71" s="125"/>
      <c r="J71" s="125"/>
      <c r="K71" s="125"/>
      <c r="L71" s="125"/>
      <c r="M71" s="125"/>
      <c r="N71" s="136"/>
      <c r="Q71" s="128">
        <f t="shared" si="8"/>
        <v>0</v>
      </c>
      <c r="R71" s="127">
        <f t="shared" si="9"/>
        <v>0</v>
      </c>
      <c r="S71" s="127">
        <f t="shared" si="9"/>
        <v>0</v>
      </c>
      <c r="T71" s="127">
        <f t="shared" si="9"/>
        <v>0</v>
      </c>
      <c r="U71" s="127">
        <f t="shared" si="9"/>
        <v>0</v>
      </c>
      <c r="V71" s="127">
        <f t="shared" si="9"/>
        <v>0</v>
      </c>
      <c r="W71" s="127">
        <f t="shared" si="9"/>
        <v>0</v>
      </c>
    </row>
    <row r="72" spans="1:23" ht="12.75">
      <c r="A72" s="130"/>
      <c r="B72" s="204"/>
      <c r="C72" s="205"/>
      <c r="D72" s="205"/>
      <c r="E72" s="205"/>
      <c r="F72" s="205"/>
      <c r="G72" s="206"/>
      <c r="H72" s="125"/>
      <c r="I72" s="125"/>
      <c r="J72" s="125"/>
      <c r="K72" s="125"/>
      <c r="L72" s="125"/>
      <c r="M72" s="125"/>
      <c r="N72" s="136"/>
      <c r="Q72" s="128">
        <f t="shared" si="8"/>
        <v>0</v>
      </c>
      <c r="R72" s="127">
        <f t="shared" si="9"/>
        <v>0</v>
      </c>
      <c r="S72" s="127">
        <f t="shared" si="9"/>
        <v>0</v>
      </c>
      <c r="T72" s="127">
        <f t="shared" si="9"/>
        <v>0</v>
      </c>
      <c r="U72" s="127">
        <f t="shared" si="9"/>
        <v>0</v>
      </c>
      <c r="V72" s="127">
        <f t="shared" si="9"/>
        <v>0</v>
      </c>
      <c r="W72" s="127">
        <f t="shared" si="9"/>
        <v>0</v>
      </c>
    </row>
    <row r="73" spans="1:23" ht="12.75">
      <c r="A73" s="134"/>
      <c r="B73" s="207"/>
      <c r="C73" s="208"/>
      <c r="D73" s="208"/>
      <c r="E73" s="208"/>
      <c r="F73" s="208"/>
      <c r="G73" s="209"/>
      <c r="H73" s="125"/>
      <c r="I73" s="125"/>
      <c r="J73" s="125"/>
      <c r="K73" s="125"/>
      <c r="L73" s="125"/>
      <c r="M73" s="125"/>
      <c r="N73" s="136"/>
      <c r="Q73" s="128">
        <f t="shared" si="8"/>
        <v>0</v>
      </c>
      <c r="R73" s="127">
        <f t="shared" si="9"/>
        <v>0</v>
      </c>
      <c r="S73" s="127">
        <f t="shared" si="9"/>
        <v>0</v>
      </c>
      <c r="T73" s="127">
        <f t="shared" si="9"/>
        <v>0</v>
      </c>
      <c r="U73" s="127">
        <f t="shared" si="9"/>
        <v>0</v>
      </c>
      <c r="V73" s="127">
        <f t="shared" si="9"/>
        <v>0</v>
      </c>
      <c r="W73" s="127">
        <f t="shared" si="9"/>
        <v>0</v>
      </c>
    </row>
    <row r="74" spans="5:14" ht="12.75">
      <c r="E74" s="136"/>
      <c r="F74" s="136"/>
      <c r="G74" s="136"/>
      <c r="H74" s="136"/>
      <c r="I74" s="136"/>
      <c r="J74" s="136"/>
      <c r="K74" s="136"/>
      <c r="L74" s="136"/>
      <c r="M74" s="136"/>
      <c r="N74" s="136"/>
    </row>
    <row r="75" spans="1:18" ht="12.75">
      <c r="A75" s="155"/>
      <c r="B75" s="156"/>
      <c r="E75" s="136"/>
      <c r="F75" s="136"/>
      <c r="G75" s="136"/>
      <c r="H75" s="136"/>
      <c r="I75" s="136"/>
      <c r="J75" s="198"/>
      <c r="K75" s="136"/>
      <c r="L75" s="136"/>
      <c r="M75" s="136"/>
      <c r="N75" s="136"/>
      <c r="Q75" s="128">
        <f>+A75</f>
        <v>0</v>
      </c>
      <c r="R75" s="128">
        <f>+B75</f>
        <v>0</v>
      </c>
    </row>
    <row r="76" spans="1:23" ht="12.75">
      <c r="A76" s="142"/>
      <c r="B76" s="140"/>
      <c r="C76" s="140"/>
      <c r="D76" s="139"/>
      <c r="E76" s="139"/>
      <c r="F76" s="140"/>
      <c r="G76" s="139"/>
      <c r="H76" s="141"/>
      <c r="I76" s="141"/>
      <c r="J76" s="141"/>
      <c r="K76" s="141"/>
      <c r="L76" s="141"/>
      <c r="M76" s="141"/>
      <c r="N76" s="136"/>
      <c r="Q76" s="128">
        <f>+A76</f>
        <v>0</v>
      </c>
      <c r="R76" s="128">
        <f>+B76</f>
        <v>0</v>
      </c>
      <c r="S76" s="128">
        <f>+C76</f>
        <v>0</v>
      </c>
      <c r="T76" s="128">
        <f>+D76</f>
        <v>0</v>
      </c>
      <c r="U76" s="128">
        <f>+E76</f>
        <v>0</v>
      </c>
      <c r="V76" s="128">
        <f>+F76</f>
        <v>0</v>
      </c>
      <c r="W76" s="128">
        <f>+G76</f>
        <v>0</v>
      </c>
    </row>
    <row r="77" spans="1:23" ht="12.75">
      <c r="A77" s="130"/>
      <c r="B77" s="199"/>
      <c r="C77" s="200"/>
      <c r="D77" s="200"/>
      <c r="E77" s="181"/>
      <c r="F77" s="200"/>
      <c r="G77" s="201"/>
      <c r="H77" s="125"/>
      <c r="I77" s="125"/>
      <c r="J77" s="125"/>
      <c r="K77" s="125"/>
      <c r="L77" s="125"/>
      <c r="M77" s="125"/>
      <c r="N77" s="136"/>
      <c r="Q77" s="128">
        <f aca="true" t="shared" si="10" ref="Q77:Q85">+A77</f>
        <v>0</v>
      </c>
      <c r="R77" s="127">
        <f aca="true" t="shared" si="11" ref="R77:W85">+B77-J77</f>
        <v>0</v>
      </c>
      <c r="S77" s="127">
        <f t="shared" si="11"/>
        <v>0</v>
      </c>
      <c r="T77" s="127">
        <f t="shared" si="11"/>
        <v>0</v>
      </c>
      <c r="U77" s="127">
        <f t="shared" si="11"/>
        <v>0</v>
      </c>
      <c r="V77" s="127">
        <f t="shared" si="11"/>
        <v>0</v>
      </c>
      <c r="W77" s="127">
        <f t="shared" si="11"/>
        <v>0</v>
      </c>
    </row>
    <row r="78" spans="1:23" ht="12.75">
      <c r="A78" s="130"/>
      <c r="B78" s="202"/>
      <c r="C78" s="181"/>
      <c r="D78" s="181"/>
      <c r="E78" s="181"/>
      <c r="F78" s="181"/>
      <c r="G78" s="203"/>
      <c r="H78" s="125"/>
      <c r="I78" s="125"/>
      <c r="J78" s="125"/>
      <c r="K78" s="125"/>
      <c r="L78" s="125"/>
      <c r="M78" s="125"/>
      <c r="N78" s="136"/>
      <c r="Q78" s="128">
        <f t="shared" si="10"/>
        <v>0</v>
      </c>
      <c r="R78" s="127">
        <f t="shared" si="11"/>
        <v>0</v>
      </c>
      <c r="S78" s="127">
        <f t="shared" si="11"/>
        <v>0</v>
      </c>
      <c r="T78" s="127">
        <f t="shared" si="11"/>
        <v>0</v>
      </c>
      <c r="U78" s="127">
        <f t="shared" si="11"/>
        <v>0</v>
      </c>
      <c r="V78" s="127">
        <f t="shared" si="11"/>
        <v>0</v>
      </c>
      <c r="W78" s="127">
        <f t="shared" si="11"/>
        <v>0</v>
      </c>
    </row>
    <row r="79" spans="1:23" ht="12.75">
      <c r="A79" s="130"/>
      <c r="B79" s="204"/>
      <c r="C79" s="205"/>
      <c r="D79" s="205"/>
      <c r="E79" s="205"/>
      <c r="F79" s="205"/>
      <c r="G79" s="206"/>
      <c r="H79" s="125"/>
      <c r="I79" s="125"/>
      <c r="J79" s="125"/>
      <c r="K79" s="125"/>
      <c r="L79" s="125"/>
      <c r="M79" s="125"/>
      <c r="N79" s="136"/>
      <c r="Q79" s="128">
        <f t="shared" si="10"/>
        <v>0</v>
      </c>
      <c r="R79" s="127">
        <f t="shared" si="11"/>
        <v>0</v>
      </c>
      <c r="S79" s="127">
        <f t="shared" si="11"/>
        <v>0</v>
      </c>
      <c r="T79" s="127">
        <f t="shared" si="11"/>
        <v>0</v>
      </c>
      <c r="U79" s="127">
        <f t="shared" si="11"/>
        <v>0</v>
      </c>
      <c r="V79" s="127">
        <f t="shared" si="11"/>
        <v>0</v>
      </c>
      <c r="W79" s="127">
        <f t="shared" si="11"/>
        <v>0</v>
      </c>
    </row>
    <row r="80" spans="1:23" ht="12.75">
      <c r="A80" s="130"/>
      <c r="B80" s="204"/>
      <c r="C80" s="205"/>
      <c r="D80" s="205"/>
      <c r="E80" s="205"/>
      <c r="F80" s="205"/>
      <c r="G80" s="206"/>
      <c r="H80" s="125"/>
      <c r="I80" s="125"/>
      <c r="J80" s="125"/>
      <c r="K80" s="125"/>
      <c r="L80" s="125"/>
      <c r="M80" s="125"/>
      <c r="N80" s="136"/>
      <c r="Q80" s="128">
        <f t="shared" si="10"/>
        <v>0</v>
      </c>
      <c r="R80" s="127">
        <f t="shared" si="11"/>
        <v>0</v>
      </c>
      <c r="S80" s="127">
        <f t="shared" si="11"/>
        <v>0</v>
      </c>
      <c r="T80" s="127">
        <f t="shared" si="11"/>
        <v>0</v>
      </c>
      <c r="U80" s="127">
        <f t="shared" si="11"/>
        <v>0</v>
      </c>
      <c r="V80" s="127">
        <f t="shared" si="11"/>
        <v>0</v>
      </c>
      <c r="W80" s="127">
        <f t="shared" si="11"/>
        <v>0</v>
      </c>
    </row>
    <row r="81" spans="1:23" ht="12.75">
      <c r="A81" s="130"/>
      <c r="B81" s="204"/>
      <c r="C81" s="205"/>
      <c r="D81" s="205"/>
      <c r="E81" s="205"/>
      <c r="F81" s="205"/>
      <c r="G81" s="206"/>
      <c r="H81" s="125"/>
      <c r="I81" s="125"/>
      <c r="J81" s="125"/>
      <c r="K81" s="125"/>
      <c r="L81" s="125"/>
      <c r="M81" s="125"/>
      <c r="N81" s="136"/>
      <c r="Q81" s="128">
        <f t="shared" si="10"/>
        <v>0</v>
      </c>
      <c r="R81" s="127">
        <f t="shared" si="11"/>
        <v>0</v>
      </c>
      <c r="S81" s="127">
        <f t="shared" si="11"/>
        <v>0</v>
      </c>
      <c r="T81" s="127">
        <f t="shared" si="11"/>
        <v>0</v>
      </c>
      <c r="U81" s="127">
        <f t="shared" si="11"/>
        <v>0</v>
      </c>
      <c r="V81" s="127">
        <f t="shared" si="11"/>
        <v>0</v>
      </c>
      <c r="W81" s="127">
        <f t="shared" si="11"/>
        <v>0</v>
      </c>
    </row>
    <row r="82" spans="1:23" ht="12.75">
      <c r="A82" s="130"/>
      <c r="B82" s="204"/>
      <c r="C82" s="205"/>
      <c r="D82" s="205"/>
      <c r="E82" s="205"/>
      <c r="F82" s="205"/>
      <c r="G82" s="206"/>
      <c r="H82" s="125"/>
      <c r="I82" s="125"/>
      <c r="J82" s="125"/>
      <c r="K82" s="125"/>
      <c r="L82" s="125"/>
      <c r="M82" s="125"/>
      <c r="N82" s="136"/>
      <c r="Q82" s="128">
        <f t="shared" si="10"/>
        <v>0</v>
      </c>
      <c r="R82" s="127">
        <f t="shared" si="11"/>
        <v>0</v>
      </c>
      <c r="S82" s="127">
        <f t="shared" si="11"/>
        <v>0</v>
      </c>
      <c r="T82" s="127">
        <f t="shared" si="11"/>
        <v>0</v>
      </c>
      <c r="U82" s="127">
        <f t="shared" si="11"/>
        <v>0</v>
      </c>
      <c r="V82" s="127">
        <f t="shared" si="11"/>
        <v>0</v>
      </c>
      <c r="W82" s="127">
        <f t="shared" si="11"/>
        <v>0</v>
      </c>
    </row>
    <row r="83" spans="1:23" ht="12.75">
      <c r="A83" s="130"/>
      <c r="B83" s="204"/>
      <c r="C83" s="205"/>
      <c r="D83" s="205"/>
      <c r="E83" s="205"/>
      <c r="F83" s="205"/>
      <c r="G83" s="206"/>
      <c r="H83" s="125"/>
      <c r="I83" s="125"/>
      <c r="J83" s="125"/>
      <c r="K83" s="125"/>
      <c r="L83" s="125"/>
      <c r="M83" s="125"/>
      <c r="N83" s="136"/>
      <c r="Q83" s="128">
        <f t="shared" si="10"/>
        <v>0</v>
      </c>
      <c r="R83" s="127">
        <f t="shared" si="11"/>
        <v>0</v>
      </c>
      <c r="S83" s="127">
        <f t="shared" si="11"/>
        <v>0</v>
      </c>
      <c r="T83" s="127">
        <f t="shared" si="11"/>
        <v>0</v>
      </c>
      <c r="U83" s="127">
        <f t="shared" si="11"/>
        <v>0</v>
      </c>
      <c r="V83" s="127">
        <f t="shared" si="11"/>
        <v>0</v>
      </c>
      <c r="W83" s="127">
        <f t="shared" si="11"/>
        <v>0</v>
      </c>
    </row>
    <row r="84" spans="1:23" ht="12.75">
      <c r="A84" s="130"/>
      <c r="B84" s="204"/>
      <c r="C84" s="205"/>
      <c r="D84" s="205"/>
      <c r="E84" s="205"/>
      <c r="F84" s="205"/>
      <c r="G84" s="206"/>
      <c r="H84" s="125"/>
      <c r="I84" s="125"/>
      <c r="J84" s="125"/>
      <c r="K84" s="125"/>
      <c r="L84" s="125"/>
      <c r="M84" s="125"/>
      <c r="N84" s="136"/>
      <c r="Q84" s="128">
        <f t="shared" si="10"/>
        <v>0</v>
      </c>
      <c r="R84" s="127">
        <f t="shared" si="11"/>
        <v>0</v>
      </c>
      <c r="S84" s="127">
        <f t="shared" si="11"/>
        <v>0</v>
      </c>
      <c r="T84" s="127">
        <f t="shared" si="11"/>
        <v>0</v>
      </c>
      <c r="U84" s="127">
        <f t="shared" si="11"/>
        <v>0</v>
      </c>
      <c r="V84" s="127">
        <f t="shared" si="11"/>
        <v>0</v>
      </c>
      <c r="W84" s="127">
        <f t="shared" si="11"/>
        <v>0</v>
      </c>
    </row>
    <row r="85" spans="1:23" ht="12.75">
      <c r="A85" s="134"/>
      <c r="B85" s="207"/>
      <c r="C85" s="208"/>
      <c r="D85" s="208"/>
      <c r="E85" s="208"/>
      <c r="F85" s="208"/>
      <c r="G85" s="209"/>
      <c r="H85" s="125"/>
      <c r="I85" s="125"/>
      <c r="J85" s="125"/>
      <c r="K85" s="125"/>
      <c r="L85" s="125"/>
      <c r="M85" s="125"/>
      <c r="N85" s="136"/>
      <c r="Q85" s="128">
        <f t="shared" si="10"/>
        <v>0</v>
      </c>
      <c r="R85" s="127">
        <f t="shared" si="11"/>
        <v>0</v>
      </c>
      <c r="S85" s="127">
        <f t="shared" si="11"/>
        <v>0</v>
      </c>
      <c r="T85" s="127">
        <f t="shared" si="11"/>
        <v>0</v>
      </c>
      <c r="U85" s="127">
        <f t="shared" si="11"/>
        <v>0</v>
      </c>
      <c r="V85" s="127">
        <f t="shared" si="11"/>
        <v>0</v>
      </c>
      <c r="W85" s="127">
        <f t="shared" si="11"/>
        <v>0</v>
      </c>
    </row>
    <row r="86" spans="5:14" ht="12.75">
      <c r="E86" s="136"/>
      <c r="F86" s="136"/>
      <c r="G86" s="136"/>
      <c r="H86" s="136"/>
      <c r="I86" s="136"/>
      <c r="J86" s="136"/>
      <c r="K86" s="136"/>
      <c r="L86" s="136"/>
      <c r="M86" s="136"/>
      <c r="N86" s="136"/>
    </row>
    <row r="87" spans="5:14" ht="12.75">
      <c r="E87" s="136"/>
      <c r="F87" s="136"/>
      <c r="G87" s="136"/>
      <c r="H87" s="136"/>
      <c r="I87" s="136"/>
      <c r="J87" s="136"/>
      <c r="K87" s="136"/>
      <c r="L87" s="136"/>
      <c r="M87" s="136"/>
      <c r="N87" s="136"/>
    </row>
    <row r="88" spans="1:14" ht="12.75">
      <c r="A88" s="146"/>
      <c r="E88" s="136"/>
      <c r="F88" s="136"/>
      <c r="G88" s="136"/>
      <c r="H88" s="136"/>
      <c r="I88" s="136"/>
      <c r="J88" s="136"/>
      <c r="K88" s="136"/>
      <c r="L88" s="136"/>
      <c r="M88" s="136"/>
      <c r="N88" s="136"/>
    </row>
    <row r="89" spans="5:14" ht="12.75">
      <c r="E89" s="136"/>
      <c r="F89" s="136"/>
      <c r="G89" s="136"/>
      <c r="H89" s="136"/>
      <c r="I89" s="136"/>
      <c r="J89" s="136"/>
      <c r="K89" s="136"/>
      <c r="L89" s="136"/>
      <c r="M89" s="136"/>
      <c r="N89" s="136"/>
    </row>
    <row r="90" spans="5:14" ht="12.75">
      <c r="E90" s="136"/>
      <c r="F90" s="136"/>
      <c r="G90" s="136"/>
      <c r="H90" s="136"/>
      <c r="I90" s="136"/>
      <c r="J90" s="136"/>
      <c r="K90" s="136"/>
      <c r="L90" s="136"/>
      <c r="M90" s="136"/>
      <c r="N90" s="136"/>
    </row>
    <row r="91" spans="5:14" ht="12.75">
      <c r="E91" s="136"/>
      <c r="F91" s="136"/>
      <c r="G91" s="136"/>
      <c r="H91" s="136"/>
      <c r="I91" s="136"/>
      <c r="J91" s="136"/>
      <c r="K91" s="136"/>
      <c r="L91" s="136"/>
      <c r="M91" s="136"/>
      <c r="N91" s="136"/>
    </row>
    <row r="92" spans="5:14" ht="12.75">
      <c r="E92" s="136"/>
      <c r="F92" s="136"/>
      <c r="G92" s="136"/>
      <c r="H92" s="136"/>
      <c r="I92" s="136"/>
      <c r="J92" s="136"/>
      <c r="K92" s="136"/>
      <c r="L92" s="136"/>
      <c r="M92" s="136"/>
      <c r="N92" s="136"/>
    </row>
    <row r="93" spans="5:14" ht="12.75"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</sheetData>
  <printOptions/>
  <pageMargins left="0.75" right="0.75" top="1" bottom="1" header="0.4921259845" footer="0.4921259845"/>
  <pageSetup fitToHeight="1" fitToWidth="1" horizontalDpi="300" verticalDpi="300" orientation="portrait" paperSize="9" scale="52" r:id="rId1"/>
  <headerFooter alignWithMargins="0">
    <oddHeader>&amp;C&amp;A</oddHeader>
    <oddFooter>&amp;LPTB 1.401&amp;CSeite &amp;P&amp;R&amp;D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1"/>
  <dimension ref="A1:W88"/>
  <sheetViews>
    <sheetView zoomScale="75" zoomScaleNormal="75" workbookViewId="0" topLeftCell="A1">
      <selection activeCell="F37" sqref="F37"/>
    </sheetView>
  </sheetViews>
  <sheetFormatPr defaultColWidth="11.5546875" defaultRowHeight="15"/>
  <cols>
    <col min="1" max="1" width="7.77734375" style="128" customWidth="1"/>
    <col min="2" max="16" width="6.77734375" style="128" customWidth="1"/>
    <col min="17" max="17" width="11.5546875" style="128" customWidth="1" collapsed="1"/>
    <col min="18" max="16384" width="11.5546875" style="128" customWidth="1"/>
  </cols>
  <sheetData>
    <row r="1" spans="1:10" ht="13.5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2" ht="13.5" thickBot="1">
      <c r="A2" s="3"/>
      <c r="B2" s="4"/>
    </row>
    <row r="4" spans="2:5" ht="12.75">
      <c r="B4" s="146"/>
      <c r="E4" s="146"/>
    </row>
    <row r="5" spans="1:7" ht="12.75">
      <c r="A5" s="150"/>
      <c r="B5" s="151"/>
      <c r="C5" s="151"/>
      <c r="D5" s="152"/>
      <c r="G5" s="150"/>
    </row>
    <row r="6" spans="1:2" ht="12" customHeight="1">
      <c r="A6" s="153"/>
      <c r="B6" s="151"/>
    </row>
    <row r="7" spans="2:3" ht="12.75">
      <c r="B7" s="151"/>
      <c r="C7" s="150"/>
    </row>
    <row r="8" spans="1:3" ht="12.75">
      <c r="A8" s="150"/>
      <c r="B8" s="151"/>
      <c r="C8" s="151"/>
    </row>
    <row r="9" ht="12.75">
      <c r="K9" s="146"/>
    </row>
    <row r="12" spans="1:2" ht="12.75">
      <c r="A12" s="82"/>
      <c r="B12" s="82"/>
    </row>
    <row r="14" spans="1:17" ht="12.75">
      <c r="A14" s="128" t="s">
        <v>27</v>
      </c>
      <c r="I14" s="128" t="s">
        <v>28</v>
      </c>
      <c r="Q14" s="128" t="s">
        <v>32</v>
      </c>
    </row>
    <row r="15" spans="1:18" ht="12.75">
      <c r="A15" s="155" t="s">
        <v>0</v>
      </c>
      <c r="B15" s="156" t="s">
        <v>1</v>
      </c>
      <c r="E15" s="136"/>
      <c r="F15" s="136"/>
      <c r="G15" s="136"/>
      <c r="H15" s="136"/>
      <c r="I15" s="155" t="s">
        <v>0</v>
      </c>
      <c r="J15" s="156" t="s">
        <v>1</v>
      </c>
      <c r="M15" s="136"/>
      <c r="N15" s="136"/>
      <c r="O15" s="136"/>
      <c r="Q15" s="128" t="str">
        <f>+A15</f>
        <v>125 Hz</v>
      </c>
      <c r="R15" s="128" t="str">
        <f>+B15</f>
        <v>octave</v>
      </c>
    </row>
    <row r="16" spans="1:23" ht="12.75">
      <c r="A16" s="142"/>
      <c r="B16" s="140" t="s">
        <v>2</v>
      </c>
      <c r="C16" s="140" t="s">
        <v>3</v>
      </c>
      <c r="D16" s="139" t="s">
        <v>4</v>
      </c>
      <c r="E16" s="139" t="s">
        <v>5</v>
      </c>
      <c r="F16" s="140" t="s">
        <v>6</v>
      </c>
      <c r="G16" s="139" t="s">
        <v>7</v>
      </c>
      <c r="H16" s="141"/>
      <c r="I16" s="142"/>
      <c r="J16" s="140" t="s">
        <v>2</v>
      </c>
      <c r="K16" s="140" t="s">
        <v>3</v>
      </c>
      <c r="L16" s="139" t="s">
        <v>4</v>
      </c>
      <c r="M16" s="139" t="s">
        <v>5</v>
      </c>
      <c r="N16" s="140" t="s">
        <v>6</v>
      </c>
      <c r="O16" s="139" t="s">
        <v>7</v>
      </c>
      <c r="P16" s="157"/>
      <c r="Q16" s="128">
        <f>+A16</f>
        <v>0</v>
      </c>
      <c r="R16" s="128" t="str">
        <f>+B16</f>
        <v>S1R1</v>
      </c>
      <c r="S16" s="128" t="str">
        <f>+C16</f>
        <v>S1R2</v>
      </c>
      <c r="T16" s="128" t="str">
        <f>+D16</f>
        <v>S1R3</v>
      </c>
      <c r="U16" s="128" t="str">
        <f>+E16</f>
        <v>S2R1</v>
      </c>
      <c r="V16" s="128" t="str">
        <f>+F16</f>
        <v>S2R2</v>
      </c>
      <c r="W16" s="128" t="str">
        <f>+G16</f>
        <v>S2R3</v>
      </c>
    </row>
    <row r="17" spans="1:23" ht="12.75">
      <c r="A17" s="130" t="s">
        <v>8</v>
      </c>
      <c r="B17" s="128">
        <v>0.66</v>
      </c>
      <c r="C17" s="128">
        <v>0.66</v>
      </c>
      <c r="D17" s="128">
        <v>0.67</v>
      </c>
      <c r="E17" s="128">
        <v>0.59</v>
      </c>
      <c r="F17" s="128">
        <v>0.63</v>
      </c>
      <c r="G17" s="128">
        <v>0.62</v>
      </c>
      <c r="H17" s="125"/>
      <c r="I17" s="130" t="s">
        <v>8</v>
      </c>
      <c r="J17" s="128">
        <v>0.59</v>
      </c>
      <c r="K17" s="128">
        <v>0.61</v>
      </c>
      <c r="L17" s="128">
        <v>0.61</v>
      </c>
      <c r="M17" s="128">
        <v>0.61</v>
      </c>
      <c r="N17" s="128">
        <v>0.54</v>
      </c>
      <c r="O17" s="128">
        <v>0.56</v>
      </c>
      <c r="P17" s="158"/>
      <c r="Q17" s="128" t="str">
        <f aca="true" t="shared" si="0" ref="Q17:Q25">+A17</f>
        <v>T30/s</v>
      </c>
      <c r="R17" s="127">
        <f aca="true" t="shared" si="1" ref="R17:W25">+B17-J17</f>
        <v>0.07000000000000006</v>
      </c>
      <c r="S17" s="127">
        <f t="shared" si="1"/>
        <v>0.050000000000000044</v>
      </c>
      <c r="T17" s="127">
        <f t="shared" si="1"/>
        <v>0.06000000000000005</v>
      </c>
      <c r="U17" s="127">
        <f t="shared" si="1"/>
        <v>-0.020000000000000018</v>
      </c>
      <c r="V17" s="127">
        <f t="shared" si="1"/>
        <v>0.08999999999999997</v>
      </c>
      <c r="W17" s="127">
        <f t="shared" si="1"/>
        <v>0.05999999999999994</v>
      </c>
    </row>
    <row r="18" spans="1:23" ht="12.75">
      <c r="A18" s="130" t="s">
        <v>9</v>
      </c>
      <c r="B18" s="128">
        <v>0.58</v>
      </c>
      <c r="C18" s="128">
        <v>0.57</v>
      </c>
      <c r="D18" s="128">
        <v>0.64</v>
      </c>
      <c r="E18" s="128">
        <v>0.51</v>
      </c>
      <c r="F18" s="128">
        <v>0.56</v>
      </c>
      <c r="G18" s="128">
        <v>0.5</v>
      </c>
      <c r="H18" s="125"/>
      <c r="I18" s="130" t="s">
        <v>9</v>
      </c>
      <c r="J18" s="128">
        <v>0.57</v>
      </c>
      <c r="K18" s="128">
        <v>0.56</v>
      </c>
      <c r="L18" s="128">
        <v>0.62</v>
      </c>
      <c r="M18" s="128">
        <v>0.52</v>
      </c>
      <c r="N18" s="128">
        <v>0.56</v>
      </c>
      <c r="O18" s="128">
        <v>0.52</v>
      </c>
      <c r="P18" s="158"/>
      <c r="Q18" s="128" t="str">
        <f t="shared" si="0"/>
        <v>EDT/s</v>
      </c>
      <c r="R18" s="127">
        <f t="shared" si="1"/>
        <v>0.010000000000000009</v>
      </c>
      <c r="S18" s="127">
        <f t="shared" si="1"/>
        <v>0.009999999999999898</v>
      </c>
      <c r="T18" s="127">
        <f t="shared" si="1"/>
        <v>0.020000000000000018</v>
      </c>
      <c r="U18" s="127">
        <f t="shared" si="1"/>
        <v>-0.010000000000000009</v>
      </c>
      <c r="V18" s="127">
        <f t="shared" si="1"/>
        <v>0</v>
      </c>
      <c r="W18" s="127">
        <f t="shared" si="1"/>
        <v>-0.020000000000000018</v>
      </c>
    </row>
    <row r="19" spans="1:23" s="194" customFormat="1" ht="12.75">
      <c r="A19" s="190" t="s">
        <v>10</v>
      </c>
      <c r="B19" s="191">
        <v>73</v>
      </c>
      <c r="C19" s="191">
        <v>76</v>
      </c>
      <c r="D19" s="191">
        <v>69</v>
      </c>
      <c r="E19" s="191">
        <v>79</v>
      </c>
      <c r="F19" s="191">
        <v>74</v>
      </c>
      <c r="G19" s="191">
        <v>79</v>
      </c>
      <c r="H19" s="192"/>
      <c r="I19" s="190" t="s">
        <v>10</v>
      </c>
      <c r="J19" s="191">
        <v>73</v>
      </c>
      <c r="K19" s="191">
        <v>76</v>
      </c>
      <c r="L19" s="191">
        <v>69</v>
      </c>
      <c r="M19" s="191">
        <v>79</v>
      </c>
      <c r="N19" s="191">
        <v>73</v>
      </c>
      <c r="O19" s="191">
        <v>78</v>
      </c>
      <c r="P19" s="193"/>
      <c r="Q19" s="128" t="str">
        <f t="shared" si="0"/>
        <v>D/%</v>
      </c>
      <c r="R19" s="127">
        <f t="shared" si="1"/>
        <v>0</v>
      </c>
      <c r="S19" s="127">
        <f t="shared" si="1"/>
        <v>0</v>
      </c>
      <c r="T19" s="127">
        <f t="shared" si="1"/>
        <v>0</v>
      </c>
      <c r="U19" s="127">
        <f t="shared" si="1"/>
        <v>0</v>
      </c>
      <c r="V19" s="127">
        <f t="shared" si="1"/>
        <v>1</v>
      </c>
      <c r="W19" s="127">
        <f t="shared" si="1"/>
        <v>1</v>
      </c>
    </row>
    <row r="20" spans="1:23" ht="12.75">
      <c r="A20" s="130" t="s">
        <v>11</v>
      </c>
      <c r="B20" s="128">
        <v>8</v>
      </c>
      <c r="C20" s="128">
        <v>8.4</v>
      </c>
      <c r="D20" s="128">
        <v>7</v>
      </c>
      <c r="E20" s="128">
        <v>9.4</v>
      </c>
      <c r="F20" s="128">
        <v>8.3</v>
      </c>
      <c r="G20" s="128">
        <v>9.6</v>
      </c>
      <c r="H20" s="125"/>
      <c r="I20" s="130" t="s">
        <v>11</v>
      </c>
      <c r="J20" s="128">
        <v>8.1</v>
      </c>
      <c r="K20" s="128">
        <v>8.5</v>
      </c>
      <c r="L20" s="128">
        <v>7.3</v>
      </c>
      <c r="M20" s="128">
        <v>9.4</v>
      </c>
      <c r="N20" s="128">
        <v>8.2</v>
      </c>
      <c r="O20" s="128">
        <v>9.3</v>
      </c>
      <c r="P20" s="158"/>
      <c r="Q20" s="128" t="str">
        <f t="shared" si="0"/>
        <v>C/dB</v>
      </c>
      <c r="R20" s="127">
        <f t="shared" si="1"/>
        <v>-0.09999999999999964</v>
      </c>
      <c r="S20" s="127">
        <f t="shared" si="1"/>
        <v>-0.09999999999999964</v>
      </c>
      <c r="T20" s="127">
        <f t="shared" si="1"/>
        <v>-0.2999999999999998</v>
      </c>
      <c r="U20" s="127">
        <f t="shared" si="1"/>
        <v>0</v>
      </c>
      <c r="V20" s="127">
        <f t="shared" si="1"/>
        <v>0.10000000000000142</v>
      </c>
      <c r="W20" s="127">
        <f t="shared" si="1"/>
        <v>0.29999999999999893</v>
      </c>
    </row>
    <row r="21" spans="1:23" ht="12.75">
      <c r="A21" s="130" t="s">
        <v>12</v>
      </c>
      <c r="B21" s="128">
        <v>38</v>
      </c>
      <c r="C21" s="128">
        <v>33</v>
      </c>
      <c r="D21" s="128">
        <v>43</v>
      </c>
      <c r="E21" s="128">
        <v>31</v>
      </c>
      <c r="F21" s="128">
        <v>37</v>
      </c>
      <c r="G21" s="128">
        <v>31</v>
      </c>
      <c r="H21" s="125"/>
      <c r="I21" s="130" t="s">
        <v>12</v>
      </c>
      <c r="J21" s="128">
        <v>37</v>
      </c>
      <c r="K21" s="128">
        <v>33</v>
      </c>
      <c r="L21" s="128">
        <v>43</v>
      </c>
      <c r="M21" s="128">
        <v>30</v>
      </c>
      <c r="N21" s="128">
        <v>38</v>
      </c>
      <c r="O21" s="128">
        <v>32</v>
      </c>
      <c r="P21" s="158"/>
      <c r="Q21" s="128" t="str">
        <f t="shared" si="0"/>
        <v>TS/ms</v>
      </c>
      <c r="R21" s="127">
        <f t="shared" si="1"/>
        <v>1</v>
      </c>
      <c r="S21" s="127">
        <f t="shared" si="1"/>
        <v>0</v>
      </c>
      <c r="T21" s="127">
        <f t="shared" si="1"/>
        <v>0</v>
      </c>
      <c r="U21" s="127">
        <f t="shared" si="1"/>
        <v>1</v>
      </c>
      <c r="V21" s="127">
        <f t="shared" si="1"/>
        <v>-1</v>
      </c>
      <c r="W21" s="127">
        <f t="shared" si="1"/>
        <v>-1</v>
      </c>
    </row>
    <row r="22" spans="1:23" ht="12.75">
      <c r="A22" s="130" t="s">
        <v>13</v>
      </c>
      <c r="B22" s="128">
        <v>16.7</v>
      </c>
      <c r="C22" s="128">
        <v>17.5</v>
      </c>
      <c r="D22" s="128">
        <v>16.2</v>
      </c>
      <c r="E22" s="128">
        <v>18</v>
      </c>
      <c r="F22" s="128">
        <v>16.6</v>
      </c>
      <c r="G22" s="128">
        <v>18.2</v>
      </c>
      <c r="H22" s="125"/>
      <c r="I22" s="130" t="s">
        <v>13</v>
      </c>
      <c r="J22" s="128">
        <v>16.8</v>
      </c>
      <c r="K22" s="128">
        <v>17.6</v>
      </c>
      <c r="L22" s="128">
        <v>16.3</v>
      </c>
      <c r="M22" s="128">
        <v>18</v>
      </c>
      <c r="N22" s="128">
        <v>16.8</v>
      </c>
      <c r="O22" s="128">
        <v>18.4</v>
      </c>
      <c r="P22" s="158"/>
      <c r="Q22" s="128" t="str">
        <f t="shared" si="0"/>
        <v>G/dB</v>
      </c>
      <c r="R22" s="127">
        <f t="shared" si="1"/>
        <v>-0.10000000000000142</v>
      </c>
      <c r="S22" s="127">
        <f t="shared" si="1"/>
        <v>-0.10000000000000142</v>
      </c>
      <c r="T22" s="127">
        <f t="shared" si="1"/>
        <v>-0.10000000000000142</v>
      </c>
      <c r="U22" s="127">
        <f t="shared" si="1"/>
        <v>0</v>
      </c>
      <c r="V22" s="127">
        <f t="shared" si="1"/>
        <v>-0.1999999999999993</v>
      </c>
      <c r="W22" s="127">
        <f t="shared" si="1"/>
        <v>-0.1999999999999993</v>
      </c>
    </row>
    <row r="23" spans="1:23" ht="12.75">
      <c r="A23" s="130" t="s">
        <v>14</v>
      </c>
      <c r="B23" s="128">
        <v>26.4</v>
      </c>
      <c r="C23" s="128">
        <v>17</v>
      </c>
      <c r="D23" s="128">
        <v>24.1</v>
      </c>
      <c r="E23" s="128">
        <v>20.1</v>
      </c>
      <c r="F23" s="128">
        <v>25.5</v>
      </c>
      <c r="G23" s="128">
        <v>22.1</v>
      </c>
      <c r="H23" s="125"/>
      <c r="I23" s="130" t="s">
        <v>14</v>
      </c>
      <c r="J23" s="128">
        <v>26.2</v>
      </c>
      <c r="K23" s="128">
        <v>17.8</v>
      </c>
      <c r="L23" s="128">
        <v>24.9</v>
      </c>
      <c r="M23" s="128">
        <v>21.4</v>
      </c>
      <c r="N23" s="128">
        <v>25.5</v>
      </c>
      <c r="O23" s="128">
        <v>22.6</v>
      </c>
      <c r="Q23" s="128" t="str">
        <f t="shared" si="0"/>
        <v>LF/%</v>
      </c>
      <c r="R23" s="127">
        <f t="shared" si="1"/>
        <v>0.1999999999999993</v>
      </c>
      <c r="S23" s="127">
        <f t="shared" si="1"/>
        <v>-0.8000000000000007</v>
      </c>
      <c r="T23" s="127">
        <f t="shared" si="1"/>
        <v>-0.7999999999999972</v>
      </c>
      <c r="U23" s="127">
        <f t="shared" si="1"/>
        <v>-1.2999999999999972</v>
      </c>
      <c r="V23" s="127">
        <f t="shared" si="1"/>
        <v>0</v>
      </c>
      <c r="W23" s="127">
        <f t="shared" si="1"/>
        <v>-0.5</v>
      </c>
    </row>
    <row r="24" spans="1:23" ht="12.75">
      <c r="A24" s="130" t="s">
        <v>15</v>
      </c>
      <c r="B24" s="131"/>
      <c r="C24" s="125"/>
      <c r="D24" s="125"/>
      <c r="E24" s="125"/>
      <c r="F24" s="125"/>
      <c r="G24" s="129"/>
      <c r="H24" s="125"/>
      <c r="I24" s="130" t="s">
        <v>15</v>
      </c>
      <c r="J24" s="131"/>
      <c r="K24" s="125"/>
      <c r="L24" s="125"/>
      <c r="M24" s="125"/>
      <c r="N24" s="125"/>
      <c r="O24" s="129"/>
      <c r="Q24" s="128" t="str">
        <f t="shared" si="0"/>
        <v>LFC/%</v>
      </c>
      <c r="R24" s="127">
        <f t="shared" si="1"/>
        <v>0</v>
      </c>
      <c r="S24" s="127">
        <f t="shared" si="1"/>
        <v>0</v>
      </c>
      <c r="T24" s="127">
        <f t="shared" si="1"/>
        <v>0</v>
      </c>
      <c r="U24" s="127">
        <f t="shared" si="1"/>
        <v>0</v>
      </c>
      <c r="V24" s="127">
        <f t="shared" si="1"/>
        <v>0</v>
      </c>
      <c r="W24" s="127">
        <f t="shared" si="1"/>
        <v>0</v>
      </c>
    </row>
    <row r="25" spans="1:23" ht="12.75">
      <c r="A25" s="134" t="s">
        <v>16</v>
      </c>
      <c r="B25" s="135"/>
      <c r="C25" s="132"/>
      <c r="D25" s="132"/>
      <c r="E25" s="132"/>
      <c r="F25" s="132"/>
      <c r="G25" s="133"/>
      <c r="H25" s="125"/>
      <c r="I25" s="134" t="s">
        <v>16</v>
      </c>
      <c r="J25" s="135"/>
      <c r="K25" s="132"/>
      <c r="L25" s="132"/>
      <c r="M25" s="132"/>
      <c r="N25" s="132"/>
      <c r="O25" s="133"/>
      <c r="Q25" s="128" t="str">
        <f t="shared" si="0"/>
        <v>IACC</v>
      </c>
      <c r="R25" s="127">
        <f t="shared" si="1"/>
        <v>0</v>
      </c>
      <c r="S25" s="127">
        <f t="shared" si="1"/>
        <v>0</v>
      </c>
      <c r="T25" s="127">
        <f t="shared" si="1"/>
        <v>0</v>
      </c>
      <c r="U25" s="127">
        <f t="shared" si="1"/>
        <v>0</v>
      </c>
      <c r="V25" s="127">
        <f t="shared" si="1"/>
        <v>0</v>
      </c>
      <c r="W25" s="127">
        <f t="shared" si="1"/>
        <v>0</v>
      </c>
    </row>
    <row r="26" spans="5:15" ht="12.75">
      <c r="E26" s="136"/>
      <c r="F26" s="136"/>
      <c r="G26" s="136"/>
      <c r="H26" s="136"/>
      <c r="M26" s="136"/>
      <c r="N26" s="136"/>
      <c r="O26" s="136"/>
    </row>
    <row r="27" spans="1:18" ht="12.75">
      <c r="A27" s="155" t="s">
        <v>17</v>
      </c>
      <c r="B27" s="156" t="s">
        <v>1</v>
      </c>
      <c r="E27" s="136"/>
      <c r="F27" s="136"/>
      <c r="G27" s="136"/>
      <c r="H27" s="136"/>
      <c r="I27" s="155" t="s">
        <v>17</v>
      </c>
      <c r="J27" s="156" t="s">
        <v>1</v>
      </c>
      <c r="M27" s="136"/>
      <c r="N27" s="136"/>
      <c r="O27" s="136"/>
      <c r="Q27" s="128" t="str">
        <f>+A27</f>
        <v>250 Hz</v>
      </c>
      <c r="R27" s="128" t="str">
        <f>+B27</f>
        <v>octave</v>
      </c>
    </row>
    <row r="28" spans="1:23" ht="12.75">
      <c r="A28" s="142"/>
      <c r="B28" s="140" t="s">
        <v>2</v>
      </c>
      <c r="C28" s="140" t="s">
        <v>3</v>
      </c>
      <c r="D28" s="139" t="s">
        <v>4</v>
      </c>
      <c r="E28" s="139" t="s">
        <v>5</v>
      </c>
      <c r="F28" s="140" t="s">
        <v>6</v>
      </c>
      <c r="G28" s="139" t="s">
        <v>7</v>
      </c>
      <c r="H28" s="141"/>
      <c r="I28" s="142"/>
      <c r="J28" s="140" t="s">
        <v>2</v>
      </c>
      <c r="K28" s="140" t="s">
        <v>3</v>
      </c>
      <c r="L28" s="139" t="s">
        <v>4</v>
      </c>
      <c r="M28" s="139" t="s">
        <v>5</v>
      </c>
      <c r="N28" s="140" t="s">
        <v>6</v>
      </c>
      <c r="O28" s="139" t="s">
        <v>7</v>
      </c>
      <c r="Q28" s="128">
        <f>+A28</f>
        <v>0</v>
      </c>
      <c r="R28" s="128" t="str">
        <f>+B28</f>
        <v>S1R1</v>
      </c>
      <c r="S28" s="128" t="str">
        <f>+C28</f>
        <v>S1R2</v>
      </c>
      <c r="T28" s="128" t="str">
        <f>+D28</f>
        <v>S1R3</v>
      </c>
      <c r="U28" s="128" t="str">
        <f>+E28</f>
        <v>S2R1</v>
      </c>
      <c r="V28" s="128" t="str">
        <f>+F28</f>
        <v>S2R2</v>
      </c>
      <c r="W28" s="128" t="str">
        <f>+G28</f>
        <v>S2R3</v>
      </c>
    </row>
    <row r="29" spans="1:23" ht="12.75">
      <c r="A29" s="130" t="s">
        <v>8</v>
      </c>
      <c r="B29" s="136">
        <v>0.98</v>
      </c>
      <c r="C29" s="128">
        <v>0.94</v>
      </c>
      <c r="D29" s="128">
        <v>0.98</v>
      </c>
      <c r="E29" s="128">
        <v>0.91</v>
      </c>
      <c r="F29" s="128">
        <v>0.94</v>
      </c>
      <c r="G29" s="128">
        <v>0.94</v>
      </c>
      <c r="H29" s="125"/>
      <c r="I29" s="130" t="s">
        <v>8</v>
      </c>
      <c r="J29" s="128">
        <v>0.79</v>
      </c>
      <c r="K29" s="128">
        <v>0.76</v>
      </c>
      <c r="L29" s="128">
        <v>0.83</v>
      </c>
      <c r="M29" s="128">
        <v>0.75</v>
      </c>
      <c r="N29" s="128">
        <v>0.75</v>
      </c>
      <c r="O29" s="128">
        <v>0.8</v>
      </c>
      <c r="Q29" s="128" t="str">
        <f aca="true" t="shared" si="2" ref="Q29:Q37">+A29</f>
        <v>T30/s</v>
      </c>
      <c r="R29" s="127">
        <f aca="true" t="shared" si="3" ref="R29:W37">+B29-J29</f>
        <v>0.18999999999999995</v>
      </c>
      <c r="S29" s="127">
        <f t="shared" si="3"/>
        <v>0.17999999999999994</v>
      </c>
      <c r="T29" s="127">
        <f t="shared" si="3"/>
        <v>0.15000000000000002</v>
      </c>
      <c r="U29" s="127">
        <f t="shared" si="3"/>
        <v>0.16000000000000003</v>
      </c>
      <c r="V29" s="127">
        <f t="shared" si="3"/>
        <v>0.18999999999999995</v>
      </c>
      <c r="W29" s="127">
        <f t="shared" si="3"/>
        <v>0.1399999999999999</v>
      </c>
    </row>
    <row r="30" spans="1:23" ht="12.75">
      <c r="A30" s="130" t="s">
        <v>9</v>
      </c>
      <c r="B30" s="136">
        <v>0.9</v>
      </c>
      <c r="C30" s="128">
        <v>0.89</v>
      </c>
      <c r="D30" s="128">
        <v>0.97</v>
      </c>
      <c r="E30" s="128">
        <v>0.84</v>
      </c>
      <c r="F30" s="128">
        <v>0.89</v>
      </c>
      <c r="G30" s="128">
        <v>0.83</v>
      </c>
      <c r="H30" s="125"/>
      <c r="I30" s="130" t="s">
        <v>9</v>
      </c>
      <c r="J30" s="128">
        <v>0.77</v>
      </c>
      <c r="K30" s="128">
        <v>0.77</v>
      </c>
      <c r="L30" s="128">
        <v>0.84</v>
      </c>
      <c r="M30" s="128">
        <v>0.73</v>
      </c>
      <c r="N30" s="128">
        <v>0.78</v>
      </c>
      <c r="O30" s="128">
        <v>0.73</v>
      </c>
      <c r="Q30" s="128" t="str">
        <f t="shared" si="2"/>
        <v>EDT/s</v>
      </c>
      <c r="R30" s="127">
        <f t="shared" si="3"/>
        <v>0.13</v>
      </c>
      <c r="S30" s="127">
        <f t="shared" si="3"/>
        <v>0.12</v>
      </c>
      <c r="T30" s="127">
        <f t="shared" si="3"/>
        <v>0.13</v>
      </c>
      <c r="U30" s="127">
        <f t="shared" si="3"/>
        <v>0.10999999999999999</v>
      </c>
      <c r="V30" s="127">
        <f t="shared" si="3"/>
        <v>0.10999999999999999</v>
      </c>
      <c r="W30" s="127">
        <f t="shared" si="3"/>
        <v>0.09999999999999998</v>
      </c>
    </row>
    <row r="31" spans="1:23" s="194" customFormat="1" ht="12.75">
      <c r="A31" s="190" t="s">
        <v>10</v>
      </c>
      <c r="B31" s="191">
        <v>57</v>
      </c>
      <c r="C31" s="191">
        <v>60</v>
      </c>
      <c r="D31" s="191">
        <v>52</v>
      </c>
      <c r="E31" s="191">
        <v>63</v>
      </c>
      <c r="F31" s="191">
        <v>57</v>
      </c>
      <c r="G31" s="191">
        <v>63</v>
      </c>
      <c r="H31" s="192"/>
      <c r="I31" s="190" t="s">
        <v>10</v>
      </c>
      <c r="J31" s="191">
        <v>62</v>
      </c>
      <c r="K31" s="191">
        <v>65</v>
      </c>
      <c r="L31" s="191">
        <v>57</v>
      </c>
      <c r="M31" s="191">
        <v>67</v>
      </c>
      <c r="N31" s="191">
        <v>61</v>
      </c>
      <c r="O31" s="191">
        <v>66</v>
      </c>
      <c r="Q31" s="128" t="str">
        <f t="shared" si="2"/>
        <v>D/%</v>
      </c>
      <c r="R31" s="127">
        <f t="shared" si="3"/>
        <v>-5</v>
      </c>
      <c r="S31" s="127">
        <f t="shared" si="3"/>
        <v>-5</v>
      </c>
      <c r="T31" s="127">
        <f t="shared" si="3"/>
        <v>-5</v>
      </c>
      <c r="U31" s="127">
        <f t="shared" si="3"/>
        <v>-4</v>
      </c>
      <c r="V31" s="127">
        <f t="shared" si="3"/>
        <v>-4</v>
      </c>
      <c r="W31" s="127">
        <f t="shared" si="3"/>
        <v>-3</v>
      </c>
    </row>
    <row r="32" spans="1:23" ht="12.75">
      <c r="A32" s="130" t="s">
        <v>11</v>
      </c>
      <c r="B32" s="128">
        <v>4.2</v>
      </c>
      <c r="C32" s="128">
        <v>4.7</v>
      </c>
      <c r="D32" s="128">
        <v>3.4</v>
      </c>
      <c r="E32" s="128">
        <v>5.1</v>
      </c>
      <c r="F32" s="128">
        <v>4.2</v>
      </c>
      <c r="G32" s="128">
        <v>5.3</v>
      </c>
      <c r="H32" s="125"/>
      <c r="I32" s="130" t="s">
        <v>11</v>
      </c>
      <c r="J32" s="128">
        <v>5.4</v>
      </c>
      <c r="K32" s="128">
        <v>5.7</v>
      </c>
      <c r="L32" s="128">
        <v>4.6</v>
      </c>
      <c r="M32" s="128">
        <v>6.3</v>
      </c>
      <c r="N32" s="128">
        <v>5.2</v>
      </c>
      <c r="O32" s="128">
        <v>6.1</v>
      </c>
      <c r="Q32" s="128" t="str">
        <f t="shared" si="2"/>
        <v>C/dB</v>
      </c>
      <c r="R32" s="127">
        <f t="shared" si="3"/>
        <v>-1.2000000000000002</v>
      </c>
      <c r="S32" s="127">
        <f t="shared" si="3"/>
        <v>-1</v>
      </c>
      <c r="T32" s="127">
        <f t="shared" si="3"/>
        <v>-1.1999999999999997</v>
      </c>
      <c r="U32" s="127">
        <f t="shared" si="3"/>
        <v>-1.2000000000000002</v>
      </c>
      <c r="V32" s="127">
        <f t="shared" si="3"/>
        <v>-1</v>
      </c>
      <c r="W32" s="127">
        <f t="shared" si="3"/>
        <v>-0.7999999999999998</v>
      </c>
    </row>
    <row r="33" spans="1:23" ht="12.75">
      <c r="A33" s="130" t="s">
        <v>12</v>
      </c>
      <c r="B33" s="128">
        <v>61</v>
      </c>
      <c r="C33" s="128">
        <v>56</v>
      </c>
      <c r="D33" s="128">
        <v>68</v>
      </c>
      <c r="E33" s="128">
        <v>53</v>
      </c>
      <c r="F33" s="128">
        <v>61</v>
      </c>
      <c r="G33" s="128">
        <v>53</v>
      </c>
      <c r="H33" s="125"/>
      <c r="I33" s="130" t="s">
        <v>12</v>
      </c>
      <c r="J33" s="128">
        <v>52</v>
      </c>
      <c r="K33" s="128">
        <v>48</v>
      </c>
      <c r="L33" s="128">
        <v>59</v>
      </c>
      <c r="M33" s="128">
        <v>45</v>
      </c>
      <c r="N33" s="128">
        <v>54</v>
      </c>
      <c r="O33" s="128">
        <v>46</v>
      </c>
      <c r="Q33" s="128" t="str">
        <f t="shared" si="2"/>
        <v>TS/ms</v>
      </c>
      <c r="R33" s="127">
        <f t="shared" si="3"/>
        <v>9</v>
      </c>
      <c r="S33" s="127">
        <f t="shared" si="3"/>
        <v>8</v>
      </c>
      <c r="T33" s="127">
        <f t="shared" si="3"/>
        <v>9</v>
      </c>
      <c r="U33" s="127">
        <f t="shared" si="3"/>
        <v>8</v>
      </c>
      <c r="V33" s="127">
        <f t="shared" si="3"/>
        <v>7</v>
      </c>
      <c r="W33" s="127">
        <f t="shared" si="3"/>
        <v>7</v>
      </c>
    </row>
    <row r="34" spans="1:23" ht="12.75">
      <c r="A34" s="130" t="s">
        <v>13</v>
      </c>
      <c r="B34" s="136">
        <v>18.6</v>
      </c>
      <c r="C34" s="128">
        <v>19.1</v>
      </c>
      <c r="D34" s="128">
        <v>18.2</v>
      </c>
      <c r="E34" s="128">
        <v>19.4</v>
      </c>
      <c r="F34" s="128">
        <v>18.6</v>
      </c>
      <c r="G34" s="128">
        <v>19.7</v>
      </c>
      <c r="H34" s="125"/>
      <c r="I34" s="130" t="s">
        <v>13</v>
      </c>
      <c r="J34" s="128">
        <v>18</v>
      </c>
      <c r="K34" s="128">
        <v>18.8</v>
      </c>
      <c r="L34" s="128">
        <v>17.8</v>
      </c>
      <c r="M34" s="128">
        <v>19</v>
      </c>
      <c r="N34" s="128">
        <v>18.2</v>
      </c>
      <c r="O34" s="128">
        <v>19.5</v>
      </c>
      <c r="Q34" s="128" t="str">
        <f t="shared" si="2"/>
        <v>G/dB</v>
      </c>
      <c r="R34" s="127">
        <f t="shared" si="3"/>
        <v>0.6000000000000014</v>
      </c>
      <c r="S34" s="127">
        <f t="shared" si="3"/>
        <v>0.3000000000000007</v>
      </c>
      <c r="T34" s="127">
        <f t="shared" si="3"/>
        <v>0.3999999999999986</v>
      </c>
      <c r="U34" s="127">
        <f t="shared" si="3"/>
        <v>0.3999999999999986</v>
      </c>
      <c r="V34" s="127">
        <f t="shared" si="3"/>
        <v>0.40000000000000213</v>
      </c>
      <c r="W34" s="127">
        <f t="shared" si="3"/>
        <v>0.1999999999999993</v>
      </c>
    </row>
    <row r="35" spans="1:23" ht="12.75">
      <c r="A35" s="130" t="s">
        <v>14</v>
      </c>
      <c r="B35" s="128">
        <v>26.7</v>
      </c>
      <c r="C35" s="128">
        <v>19.7</v>
      </c>
      <c r="D35" s="128">
        <v>25.3</v>
      </c>
      <c r="E35" s="128">
        <v>21.1</v>
      </c>
      <c r="F35" s="128">
        <v>26.1</v>
      </c>
      <c r="G35" s="128">
        <v>23.4</v>
      </c>
      <c r="H35" s="125"/>
      <c r="I35" s="130" t="s">
        <v>14</v>
      </c>
      <c r="J35" s="128">
        <v>25.6</v>
      </c>
      <c r="K35" s="128">
        <v>20.3</v>
      </c>
      <c r="L35" s="128">
        <v>25.5</v>
      </c>
      <c r="M35" s="128">
        <v>21.5</v>
      </c>
      <c r="N35" s="128">
        <v>25.4</v>
      </c>
      <c r="O35" s="128">
        <v>23.5</v>
      </c>
      <c r="Q35" s="128" t="str">
        <f t="shared" si="2"/>
        <v>LF/%</v>
      </c>
      <c r="R35" s="127">
        <f t="shared" si="3"/>
        <v>1.0999999999999979</v>
      </c>
      <c r="S35" s="127">
        <f t="shared" si="3"/>
        <v>-0.6000000000000014</v>
      </c>
      <c r="T35" s="127">
        <f t="shared" si="3"/>
        <v>-0.1999999999999993</v>
      </c>
      <c r="U35" s="127">
        <f t="shared" si="3"/>
        <v>-0.3999999999999986</v>
      </c>
      <c r="V35" s="127">
        <f t="shared" si="3"/>
        <v>0.7000000000000028</v>
      </c>
      <c r="W35" s="127">
        <f t="shared" si="3"/>
        <v>-0.10000000000000142</v>
      </c>
    </row>
    <row r="36" spans="1:23" ht="12.75">
      <c r="A36" s="130" t="s">
        <v>15</v>
      </c>
      <c r="B36" s="131"/>
      <c r="C36" s="125"/>
      <c r="D36" s="125"/>
      <c r="E36" s="125"/>
      <c r="F36" s="125"/>
      <c r="G36" s="129"/>
      <c r="H36" s="125"/>
      <c r="I36" s="130" t="s">
        <v>15</v>
      </c>
      <c r="J36" s="131"/>
      <c r="K36" s="125"/>
      <c r="L36" s="125"/>
      <c r="M36" s="125"/>
      <c r="N36" s="125"/>
      <c r="O36" s="129"/>
      <c r="Q36" s="128" t="str">
        <f t="shared" si="2"/>
        <v>LFC/%</v>
      </c>
      <c r="R36" s="127">
        <f t="shared" si="3"/>
        <v>0</v>
      </c>
      <c r="S36" s="127">
        <f t="shared" si="3"/>
        <v>0</v>
      </c>
      <c r="T36" s="127">
        <f t="shared" si="3"/>
        <v>0</v>
      </c>
      <c r="U36" s="127">
        <f t="shared" si="3"/>
        <v>0</v>
      </c>
      <c r="V36" s="127">
        <f t="shared" si="3"/>
        <v>0</v>
      </c>
      <c r="W36" s="127">
        <f t="shared" si="3"/>
        <v>0</v>
      </c>
    </row>
    <row r="37" spans="1:23" ht="12.75">
      <c r="A37" s="134" t="s">
        <v>16</v>
      </c>
      <c r="B37" s="135"/>
      <c r="C37" s="132"/>
      <c r="D37" s="132"/>
      <c r="E37" s="132"/>
      <c r="F37" s="132"/>
      <c r="G37" s="133"/>
      <c r="H37" s="125"/>
      <c r="I37" s="134" t="s">
        <v>16</v>
      </c>
      <c r="J37" s="135"/>
      <c r="K37" s="132"/>
      <c r="L37" s="132"/>
      <c r="M37" s="132"/>
      <c r="N37" s="132"/>
      <c r="O37" s="133"/>
      <c r="Q37" s="128" t="str">
        <f t="shared" si="2"/>
        <v>IACC</v>
      </c>
      <c r="R37" s="127">
        <f t="shared" si="3"/>
        <v>0</v>
      </c>
      <c r="S37" s="127">
        <f t="shared" si="3"/>
        <v>0</v>
      </c>
      <c r="T37" s="127">
        <f t="shared" si="3"/>
        <v>0</v>
      </c>
      <c r="U37" s="127">
        <f t="shared" si="3"/>
        <v>0</v>
      </c>
      <c r="V37" s="127">
        <f t="shared" si="3"/>
        <v>0</v>
      </c>
      <c r="W37" s="127">
        <f t="shared" si="3"/>
        <v>0</v>
      </c>
    </row>
    <row r="38" spans="5:15" ht="12.75">
      <c r="E38" s="136"/>
      <c r="F38" s="136"/>
      <c r="G38" s="136"/>
      <c r="H38" s="136"/>
      <c r="M38" s="136"/>
      <c r="N38" s="136"/>
      <c r="O38" s="136"/>
    </row>
    <row r="39" spans="1:18" ht="12.75">
      <c r="A39" s="155" t="s">
        <v>18</v>
      </c>
      <c r="B39" s="156" t="s">
        <v>1</v>
      </c>
      <c r="E39" s="136"/>
      <c r="F39" s="136"/>
      <c r="G39" s="136"/>
      <c r="H39" s="136"/>
      <c r="I39" s="155" t="s">
        <v>18</v>
      </c>
      <c r="J39" s="156" t="s">
        <v>1</v>
      </c>
      <c r="M39" s="136"/>
      <c r="N39" s="136"/>
      <c r="O39" s="136"/>
      <c r="Q39" s="128" t="str">
        <f>+A39</f>
        <v>500 Hz</v>
      </c>
      <c r="R39" s="128" t="str">
        <f>+B39</f>
        <v>octave</v>
      </c>
    </row>
    <row r="40" spans="1:23" ht="12.75">
      <c r="A40" s="142"/>
      <c r="B40" s="140" t="s">
        <v>2</v>
      </c>
      <c r="C40" s="140" t="s">
        <v>3</v>
      </c>
      <c r="D40" s="139" t="s">
        <v>4</v>
      </c>
      <c r="E40" s="139" t="s">
        <v>5</v>
      </c>
      <c r="F40" s="140" t="s">
        <v>6</v>
      </c>
      <c r="G40" s="139" t="s">
        <v>7</v>
      </c>
      <c r="H40" s="141"/>
      <c r="I40" s="142"/>
      <c r="J40" s="140" t="s">
        <v>2</v>
      </c>
      <c r="K40" s="140" t="s">
        <v>3</v>
      </c>
      <c r="L40" s="139" t="s">
        <v>4</v>
      </c>
      <c r="M40" s="139" t="s">
        <v>5</v>
      </c>
      <c r="N40" s="140" t="s">
        <v>6</v>
      </c>
      <c r="O40" s="139" t="s">
        <v>7</v>
      </c>
      <c r="Q40" s="128">
        <f>+A40</f>
        <v>0</v>
      </c>
      <c r="R40" s="128" t="str">
        <f>+B40</f>
        <v>S1R1</v>
      </c>
      <c r="S40" s="128" t="str">
        <f>+C40</f>
        <v>S1R2</v>
      </c>
      <c r="T40" s="128" t="str">
        <f>+D40</f>
        <v>S1R3</v>
      </c>
      <c r="U40" s="128" t="str">
        <f>+E40</f>
        <v>S2R1</v>
      </c>
      <c r="V40" s="128" t="str">
        <f>+F40</f>
        <v>S2R2</v>
      </c>
      <c r="W40" s="128" t="str">
        <f>+G40</f>
        <v>S2R3</v>
      </c>
    </row>
    <row r="41" spans="1:23" ht="12.75">
      <c r="A41" s="130" t="s">
        <v>8</v>
      </c>
      <c r="B41" s="136">
        <v>1.11</v>
      </c>
      <c r="C41" s="128">
        <v>1.09</v>
      </c>
      <c r="D41" s="128">
        <v>1.04</v>
      </c>
      <c r="E41" s="128">
        <v>1.09</v>
      </c>
      <c r="F41" s="128">
        <v>1.09</v>
      </c>
      <c r="G41" s="128">
        <v>1.08</v>
      </c>
      <c r="H41" s="125"/>
      <c r="I41" s="130" t="s">
        <v>8</v>
      </c>
      <c r="J41" s="128">
        <v>0.83</v>
      </c>
      <c r="K41" s="128">
        <v>0.91</v>
      </c>
      <c r="L41" s="128">
        <v>0.89</v>
      </c>
      <c r="M41" s="128">
        <v>0.85</v>
      </c>
      <c r="N41" s="128">
        <v>0.91</v>
      </c>
      <c r="O41" s="128">
        <v>0.85</v>
      </c>
      <c r="Q41" s="128" t="str">
        <f aca="true" t="shared" si="4" ref="Q41:Q49">+A41</f>
        <v>T30/s</v>
      </c>
      <c r="R41" s="127">
        <f aca="true" t="shared" si="5" ref="R41:W49">+B41-J41</f>
        <v>0.28000000000000014</v>
      </c>
      <c r="S41" s="127">
        <f t="shared" si="5"/>
        <v>0.18000000000000005</v>
      </c>
      <c r="T41" s="127">
        <f t="shared" si="5"/>
        <v>0.15000000000000002</v>
      </c>
      <c r="U41" s="127">
        <f t="shared" si="5"/>
        <v>0.2400000000000001</v>
      </c>
      <c r="V41" s="127">
        <f t="shared" si="5"/>
        <v>0.18000000000000005</v>
      </c>
      <c r="W41" s="127">
        <f t="shared" si="5"/>
        <v>0.2300000000000001</v>
      </c>
    </row>
    <row r="42" spans="1:23" ht="12.75">
      <c r="A42" s="130" t="s">
        <v>9</v>
      </c>
      <c r="B42" s="136">
        <v>1.07</v>
      </c>
      <c r="C42" s="128">
        <v>1.05</v>
      </c>
      <c r="D42" s="128">
        <v>1.12</v>
      </c>
      <c r="E42" s="128">
        <v>1</v>
      </c>
      <c r="F42" s="128">
        <v>1.04</v>
      </c>
      <c r="G42" s="128">
        <v>0.99</v>
      </c>
      <c r="H42" s="125"/>
      <c r="I42" s="130" t="s">
        <v>9</v>
      </c>
      <c r="J42" s="128">
        <v>0.86</v>
      </c>
      <c r="K42" s="128">
        <v>0.86</v>
      </c>
      <c r="L42" s="128">
        <v>0.92</v>
      </c>
      <c r="M42" s="128">
        <v>0.83</v>
      </c>
      <c r="N42" s="128">
        <v>0.87</v>
      </c>
      <c r="O42" s="128">
        <v>0.83</v>
      </c>
      <c r="Q42" s="128" t="str">
        <f t="shared" si="4"/>
        <v>EDT/s</v>
      </c>
      <c r="R42" s="127">
        <f t="shared" si="5"/>
        <v>0.21000000000000008</v>
      </c>
      <c r="S42" s="127">
        <f t="shared" si="5"/>
        <v>0.19000000000000006</v>
      </c>
      <c r="T42" s="127">
        <f t="shared" si="5"/>
        <v>0.20000000000000007</v>
      </c>
      <c r="U42" s="127">
        <f t="shared" si="5"/>
        <v>0.17000000000000004</v>
      </c>
      <c r="V42" s="127">
        <f t="shared" si="5"/>
        <v>0.17000000000000004</v>
      </c>
      <c r="W42" s="127">
        <f t="shared" si="5"/>
        <v>0.16000000000000003</v>
      </c>
    </row>
    <row r="43" spans="1:23" s="194" customFormat="1" ht="12.75">
      <c r="A43" s="190" t="s">
        <v>10</v>
      </c>
      <c r="B43" s="191">
        <v>51</v>
      </c>
      <c r="C43" s="191">
        <v>54</v>
      </c>
      <c r="D43" s="191">
        <v>46</v>
      </c>
      <c r="E43" s="191">
        <v>56</v>
      </c>
      <c r="F43" s="191">
        <v>51</v>
      </c>
      <c r="G43" s="191">
        <v>57</v>
      </c>
      <c r="H43" s="192"/>
      <c r="I43" s="190" t="s">
        <v>10</v>
      </c>
      <c r="J43" s="191">
        <v>58</v>
      </c>
      <c r="K43" s="191">
        <v>60</v>
      </c>
      <c r="L43" s="191">
        <v>53</v>
      </c>
      <c r="M43" s="191">
        <v>63</v>
      </c>
      <c r="N43" s="191">
        <v>57</v>
      </c>
      <c r="O43" s="191">
        <v>62</v>
      </c>
      <c r="Q43" s="128" t="str">
        <f t="shared" si="4"/>
        <v>D/%</v>
      </c>
      <c r="R43" s="127">
        <f t="shared" si="5"/>
        <v>-7</v>
      </c>
      <c r="S43" s="127">
        <f t="shared" si="5"/>
        <v>-6</v>
      </c>
      <c r="T43" s="127">
        <f t="shared" si="5"/>
        <v>-7</v>
      </c>
      <c r="U43" s="127">
        <f t="shared" si="5"/>
        <v>-7</v>
      </c>
      <c r="V43" s="127">
        <f t="shared" si="5"/>
        <v>-6</v>
      </c>
      <c r="W43" s="127">
        <f t="shared" si="5"/>
        <v>-5</v>
      </c>
    </row>
    <row r="44" spans="1:23" ht="12.75">
      <c r="A44" s="130" t="s">
        <v>11</v>
      </c>
      <c r="B44" s="128">
        <v>2.9</v>
      </c>
      <c r="C44" s="128">
        <v>3.4</v>
      </c>
      <c r="D44" s="128">
        <v>2.2</v>
      </c>
      <c r="E44" s="128">
        <v>3.8</v>
      </c>
      <c r="F44" s="128">
        <v>3.1</v>
      </c>
      <c r="G44" s="128">
        <v>4</v>
      </c>
      <c r="H44" s="125"/>
      <c r="I44" s="130" t="s">
        <v>11</v>
      </c>
      <c r="J44" s="128">
        <v>4.4</v>
      </c>
      <c r="K44" s="128">
        <v>4.8</v>
      </c>
      <c r="L44" s="128">
        <v>3.8</v>
      </c>
      <c r="M44" s="128">
        <v>5.2</v>
      </c>
      <c r="N44" s="128">
        <v>4.3</v>
      </c>
      <c r="O44" s="128">
        <v>5.2</v>
      </c>
      <c r="Q44" s="128" t="str">
        <f t="shared" si="4"/>
        <v>C/dB</v>
      </c>
      <c r="R44" s="127">
        <f t="shared" si="5"/>
        <v>-1.5000000000000004</v>
      </c>
      <c r="S44" s="127">
        <f t="shared" si="5"/>
        <v>-1.4</v>
      </c>
      <c r="T44" s="127">
        <f t="shared" si="5"/>
        <v>-1.5999999999999996</v>
      </c>
      <c r="U44" s="127">
        <f t="shared" si="5"/>
        <v>-1.4000000000000004</v>
      </c>
      <c r="V44" s="127">
        <f t="shared" si="5"/>
        <v>-1.1999999999999997</v>
      </c>
      <c r="W44" s="127">
        <f t="shared" si="5"/>
        <v>-1.2000000000000002</v>
      </c>
    </row>
    <row r="45" spans="1:23" ht="12.75">
      <c r="A45" s="130" t="s">
        <v>12</v>
      </c>
      <c r="B45" s="128">
        <v>74</v>
      </c>
      <c r="C45" s="128">
        <v>68</v>
      </c>
      <c r="D45" s="128">
        <v>79</v>
      </c>
      <c r="E45" s="128">
        <v>64</v>
      </c>
      <c r="F45" s="128">
        <v>72</v>
      </c>
      <c r="G45" s="128">
        <v>63</v>
      </c>
      <c r="H45" s="125"/>
      <c r="I45" s="130" t="s">
        <v>12</v>
      </c>
      <c r="J45" s="128">
        <v>59</v>
      </c>
      <c r="K45" s="128">
        <v>55</v>
      </c>
      <c r="L45" s="128">
        <v>65</v>
      </c>
      <c r="M45" s="128">
        <v>52</v>
      </c>
      <c r="N45" s="128">
        <v>60</v>
      </c>
      <c r="O45" s="128">
        <v>53</v>
      </c>
      <c r="Q45" s="128" t="str">
        <f t="shared" si="4"/>
        <v>TS/ms</v>
      </c>
      <c r="R45" s="127">
        <f t="shared" si="5"/>
        <v>15</v>
      </c>
      <c r="S45" s="127">
        <f t="shared" si="5"/>
        <v>13</v>
      </c>
      <c r="T45" s="127">
        <f t="shared" si="5"/>
        <v>14</v>
      </c>
      <c r="U45" s="127">
        <f t="shared" si="5"/>
        <v>12</v>
      </c>
      <c r="V45" s="127">
        <f t="shared" si="5"/>
        <v>12</v>
      </c>
      <c r="W45" s="127">
        <f t="shared" si="5"/>
        <v>10</v>
      </c>
    </row>
    <row r="46" spans="1:23" ht="12.75">
      <c r="A46" s="130" t="s">
        <v>13</v>
      </c>
      <c r="B46" s="136">
        <v>19.3</v>
      </c>
      <c r="C46" s="128">
        <v>20</v>
      </c>
      <c r="D46" s="128">
        <v>19.1</v>
      </c>
      <c r="E46" s="128">
        <v>19.9</v>
      </c>
      <c r="F46" s="128">
        <v>19.4</v>
      </c>
      <c r="G46" s="128">
        <v>20.2</v>
      </c>
      <c r="H46" s="125"/>
      <c r="I46" s="130" t="s">
        <v>13</v>
      </c>
      <c r="J46" s="128">
        <v>18.5</v>
      </c>
      <c r="K46" s="128">
        <v>19.5</v>
      </c>
      <c r="L46" s="128">
        <v>18.5</v>
      </c>
      <c r="M46" s="128">
        <v>19.2</v>
      </c>
      <c r="N46" s="128">
        <v>18.8</v>
      </c>
      <c r="O46" s="128">
        <v>19.7</v>
      </c>
      <c r="Q46" s="128" t="str">
        <f t="shared" si="4"/>
        <v>G/dB</v>
      </c>
      <c r="R46" s="127">
        <f t="shared" si="5"/>
        <v>0.8000000000000007</v>
      </c>
      <c r="S46" s="127">
        <f t="shared" si="5"/>
        <v>0.5</v>
      </c>
      <c r="T46" s="127">
        <f t="shared" si="5"/>
        <v>0.6000000000000014</v>
      </c>
      <c r="U46" s="127">
        <f t="shared" si="5"/>
        <v>0.6999999999999993</v>
      </c>
      <c r="V46" s="127">
        <f t="shared" si="5"/>
        <v>0.5999999999999979</v>
      </c>
      <c r="W46" s="127">
        <f t="shared" si="5"/>
        <v>0.5</v>
      </c>
    </row>
    <row r="47" spans="1:23" ht="12.75">
      <c r="A47" s="130" t="s">
        <v>14</v>
      </c>
      <c r="B47" s="128">
        <v>26.6</v>
      </c>
      <c r="C47" s="128">
        <v>22.8</v>
      </c>
      <c r="D47" s="128">
        <v>26.1</v>
      </c>
      <c r="E47" s="128">
        <v>22.1</v>
      </c>
      <c r="F47" s="128">
        <v>26.1</v>
      </c>
      <c r="G47" s="128">
        <v>24.6</v>
      </c>
      <c r="H47" s="125"/>
      <c r="I47" s="130" t="s">
        <v>14</v>
      </c>
      <c r="J47" s="128">
        <v>25</v>
      </c>
      <c r="K47" s="128">
        <v>23.3</v>
      </c>
      <c r="L47" s="128">
        <v>26.3</v>
      </c>
      <c r="M47" s="128">
        <v>22.2</v>
      </c>
      <c r="N47" s="128">
        <v>25.2</v>
      </c>
      <c r="O47" s="128">
        <v>24.5</v>
      </c>
      <c r="Q47" s="128" t="str">
        <f t="shared" si="4"/>
        <v>LF/%</v>
      </c>
      <c r="R47" s="127">
        <f t="shared" si="5"/>
        <v>1.6000000000000014</v>
      </c>
      <c r="S47" s="127">
        <f t="shared" si="5"/>
        <v>-0.5</v>
      </c>
      <c r="T47" s="127">
        <f t="shared" si="5"/>
        <v>-0.1999999999999993</v>
      </c>
      <c r="U47" s="127">
        <f t="shared" si="5"/>
        <v>-0.09999999999999787</v>
      </c>
      <c r="V47" s="127">
        <f t="shared" si="5"/>
        <v>0.9000000000000021</v>
      </c>
      <c r="W47" s="127">
        <f t="shared" si="5"/>
        <v>0.10000000000000142</v>
      </c>
    </row>
    <row r="48" spans="1:23" ht="12.75">
      <c r="A48" s="130" t="s">
        <v>15</v>
      </c>
      <c r="B48" s="131"/>
      <c r="C48" s="125"/>
      <c r="D48" s="125"/>
      <c r="E48" s="125"/>
      <c r="F48" s="125"/>
      <c r="G48" s="129"/>
      <c r="H48" s="125"/>
      <c r="I48" s="130" t="s">
        <v>15</v>
      </c>
      <c r="J48" s="131"/>
      <c r="K48" s="125"/>
      <c r="L48" s="125"/>
      <c r="M48" s="125"/>
      <c r="N48" s="125"/>
      <c r="O48" s="129"/>
      <c r="Q48" s="128" t="str">
        <f t="shared" si="4"/>
        <v>LFC/%</v>
      </c>
      <c r="R48" s="127">
        <f t="shared" si="5"/>
        <v>0</v>
      </c>
      <c r="S48" s="127">
        <f t="shared" si="5"/>
        <v>0</v>
      </c>
      <c r="T48" s="127">
        <f t="shared" si="5"/>
        <v>0</v>
      </c>
      <c r="U48" s="127">
        <f t="shared" si="5"/>
        <v>0</v>
      </c>
      <c r="V48" s="127">
        <f t="shared" si="5"/>
        <v>0</v>
      </c>
      <c r="W48" s="127">
        <f t="shared" si="5"/>
        <v>0</v>
      </c>
    </row>
    <row r="49" spans="1:23" ht="12.75">
      <c r="A49" s="134" t="s">
        <v>16</v>
      </c>
      <c r="B49" s="135"/>
      <c r="C49" s="132"/>
      <c r="D49" s="132"/>
      <c r="E49" s="132"/>
      <c r="F49" s="132"/>
      <c r="G49" s="133"/>
      <c r="H49" s="125"/>
      <c r="I49" s="134" t="s">
        <v>16</v>
      </c>
      <c r="J49" s="135"/>
      <c r="K49" s="132"/>
      <c r="L49" s="132"/>
      <c r="M49" s="132"/>
      <c r="N49" s="132"/>
      <c r="O49" s="133"/>
      <c r="Q49" s="128" t="str">
        <f t="shared" si="4"/>
        <v>IACC</v>
      </c>
      <c r="R49" s="127">
        <f t="shared" si="5"/>
        <v>0</v>
      </c>
      <c r="S49" s="127">
        <f t="shared" si="5"/>
        <v>0</v>
      </c>
      <c r="T49" s="127">
        <f t="shared" si="5"/>
        <v>0</v>
      </c>
      <c r="U49" s="127">
        <f t="shared" si="5"/>
        <v>0</v>
      </c>
      <c r="V49" s="127">
        <f t="shared" si="5"/>
        <v>0</v>
      </c>
      <c r="W49" s="127">
        <f t="shared" si="5"/>
        <v>0</v>
      </c>
    </row>
    <row r="50" spans="5:23" ht="12.75">
      <c r="E50" s="136"/>
      <c r="F50" s="136"/>
      <c r="G50" s="136"/>
      <c r="H50" s="136"/>
      <c r="M50" s="136"/>
      <c r="N50" s="136"/>
      <c r="O50" s="136"/>
      <c r="R50" s="127"/>
      <c r="S50" s="127"/>
      <c r="T50" s="127"/>
      <c r="U50" s="127"/>
      <c r="V50" s="127"/>
      <c r="W50" s="127"/>
    </row>
    <row r="51" spans="1:18" ht="12.75">
      <c r="A51" s="155" t="s">
        <v>19</v>
      </c>
      <c r="B51" s="156" t="s">
        <v>1</v>
      </c>
      <c r="E51" s="136"/>
      <c r="F51" s="136"/>
      <c r="G51" s="136"/>
      <c r="H51" s="136"/>
      <c r="I51" s="155" t="s">
        <v>19</v>
      </c>
      <c r="J51" s="156" t="s">
        <v>1</v>
      </c>
      <c r="M51" s="136"/>
      <c r="N51" s="136"/>
      <c r="O51" s="136"/>
      <c r="Q51" s="128" t="str">
        <f>+A51</f>
        <v>1000 Hz</v>
      </c>
      <c r="R51" s="128" t="str">
        <f>+B51</f>
        <v>octave</v>
      </c>
    </row>
    <row r="52" spans="1:23" ht="12.75">
      <c r="A52" s="142"/>
      <c r="B52" s="140" t="s">
        <v>2</v>
      </c>
      <c r="C52" s="140" t="s">
        <v>3</v>
      </c>
      <c r="D52" s="139" t="s">
        <v>4</v>
      </c>
      <c r="E52" s="139" t="s">
        <v>5</v>
      </c>
      <c r="F52" s="140" t="s">
        <v>6</v>
      </c>
      <c r="G52" s="139" t="s">
        <v>7</v>
      </c>
      <c r="H52" s="141"/>
      <c r="I52" s="142"/>
      <c r="J52" s="140" t="s">
        <v>2</v>
      </c>
      <c r="K52" s="140" t="s">
        <v>3</v>
      </c>
      <c r="L52" s="139" t="s">
        <v>4</v>
      </c>
      <c r="M52" s="139" t="s">
        <v>5</v>
      </c>
      <c r="N52" s="140" t="s">
        <v>6</v>
      </c>
      <c r="O52" s="139" t="s">
        <v>7</v>
      </c>
      <c r="Q52" s="128">
        <f>+A52</f>
        <v>0</v>
      </c>
      <c r="R52" s="128" t="str">
        <f>+B52</f>
        <v>S1R1</v>
      </c>
      <c r="S52" s="128" t="str">
        <f>+C52</f>
        <v>S1R2</v>
      </c>
      <c r="T52" s="128" t="str">
        <f>+D52</f>
        <v>S1R3</v>
      </c>
      <c r="U52" s="128" t="str">
        <f>+E52</f>
        <v>S2R1</v>
      </c>
      <c r="V52" s="128" t="str">
        <f>+F52</f>
        <v>S2R2</v>
      </c>
      <c r="W52" s="128" t="str">
        <f>+G52</f>
        <v>S2R3</v>
      </c>
    </row>
    <row r="53" spans="1:23" ht="12.75">
      <c r="A53" s="130" t="s">
        <v>8</v>
      </c>
      <c r="B53" s="136">
        <v>0.96</v>
      </c>
      <c r="C53" s="128">
        <v>0.95</v>
      </c>
      <c r="D53" s="128">
        <v>1.04</v>
      </c>
      <c r="E53" s="128">
        <v>0.96</v>
      </c>
      <c r="F53" s="128">
        <v>1.01</v>
      </c>
      <c r="G53" s="128">
        <v>0.97</v>
      </c>
      <c r="H53" s="125"/>
      <c r="I53" s="130" t="s">
        <v>8</v>
      </c>
      <c r="J53" s="128">
        <v>0.79</v>
      </c>
      <c r="K53" s="128">
        <v>0.74</v>
      </c>
      <c r="L53" s="128">
        <v>0.73</v>
      </c>
      <c r="M53" s="128">
        <v>0.73</v>
      </c>
      <c r="N53" s="128">
        <v>0.77</v>
      </c>
      <c r="O53" s="128">
        <v>0.72</v>
      </c>
      <c r="Q53" s="128" t="str">
        <f aca="true" t="shared" si="6" ref="Q53:Q61">+A53</f>
        <v>T30/s</v>
      </c>
      <c r="R53" s="127">
        <f aca="true" t="shared" si="7" ref="R53:W61">+B53-J53</f>
        <v>0.16999999999999993</v>
      </c>
      <c r="S53" s="127">
        <f t="shared" si="7"/>
        <v>0.20999999999999996</v>
      </c>
      <c r="T53" s="127">
        <f t="shared" si="7"/>
        <v>0.31000000000000005</v>
      </c>
      <c r="U53" s="127">
        <f t="shared" si="7"/>
        <v>0.22999999999999998</v>
      </c>
      <c r="V53" s="127">
        <f t="shared" si="7"/>
        <v>0.24</v>
      </c>
      <c r="W53" s="127">
        <f t="shared" si="7"/>
        <v>0.25</v>
      </c>
    </row>
    <row r="54" spans="1:23" ht="12.75">
      <c r="A54" s="130" t="s">
        <v>9</v>
      </c>
      <c r="B54" s="136">
        <v>0.99</v>
      </c>
      <c r="C54" s="128">
        <v>0.96</v>
      </c>
      <c r="D54" s="128">
        <v>1.03</v>
      </c>
      <c r="E54" s="128">
        <v>0.9</v>
      </c>
      <c r="F54" s="128">
        <v>0.94</v>
      </c>
      <c r="G54" s="128">
        <v>0.89</v>
      </c>
      <c r="H54" s="125"/>
      <c r="I54" s="130" t="s">
        <v>9</v>
      </c>
      <c r="J54" s="128">
        <v>0.76</v>
      </c>
      <c r="K54" s="128">
        <v>0.75</v>
      </c>
      <c r="L54" s="128">
        <v>0.81</v>
      </c>
      <c r="M54" s="128">
        <v>0.72</v>
      </c>
      <c r="N54" s="128">
        <v>0.76</v>
      </c>
      <c r="O54" s="128">
        <v>0.72</v>
      </c>
      <c r="Q54" s="128" t="str">
        <f t="shared" si="6"/>
        <v>EDT/s</v>
      </c>
      <c r="R54" s="127">
        <f t="shared" si="7"/>
        <v>0.22999999999999998</v>
      </c>
      <c r="S54" s="127">
        <f t="shared" si="7"/>
        <v>0.20999999999999996</v>
      </c>
      <c r="T54" s="127">
        <f t="shared" si="7"/>
        <v>0.21999999999999997</v>
      </c>
      <c r="U54" s="127">
        <f t="shared" si="7"/>
        <v>0.18000000000000005</v>
      </c>
      <c r="V54" s="127">
        <f t="shared" si="7"/>
        <v>0.17999999999999994</v>
      </c>
      <c r="W54" s="127">
        <f t="shared" si="7"/>
        <v>0.17000000000000004</v>
      </c>
    </row>
    <row r="55" spans="1:23" s="194" customFormat="1" ht="12.75">
      <c r="A55" s="190" t="s">
        <v>10</v>
      </c>
      <c r="B55" s="191">
        <v>54</v>
      </c>
      <c r="C55" s="191">
        <v>57</v>
      </c>
      <c r="D55" s="191">
        <v>49</v>
      </c>
      <c r="E55" s="191">
        <v>59</v>
      </c>
      <c r="F55" s="191">
        <v>55</v>
      </c>
      <c r="G55" s="191">
        <v>61</v>
      </c>
      <c r="H55" s="192"/>
      <c r="I55" s="190" t="s">
        <v>10</v>
      </c>
      <c r="J55" s="191">
        <v>62</v>
      </c>
      <c r="K55" s="191">
        <v>65</v>
      </c>
      <c r="L55" s="191">
        <v>58</v>
      </c>
      <c r="M55" s="191">
        <v>67</v>
      </c>
      <c r="N55" s="191">
        <v>62</v>
      </c>
      <c r="O55" s="191">
        <v>67</v>
      </c>
      <c r="Q55" s="128" t="str">
        <f t="shared" si="6"/>
        <v>D/%</v>
      </c>
      <c r="R55" s="127">
        <f t="shared" si="7"/>
        <v>-8</v>
      </c>
      <c r="S55" s="127">
        <f t="shared" si="7"/>
        <v>-8</v>
      </c>
      <c r="T55" s="127">
        <f t="shared" si="7"/>
        <v>-9</v>
      </c>
      <c r="U55" s="127">
        <f t="shared" si="7"/>
        <v>-8</v>
      </c>
      <c r="V55" s="127">
        <f t="shared" si="7"/>
        <v>-7</v>
      </c>
      <c r="W55" s="127">
        <f t="shared" si="7"/>
        <v>-6</v>
      </c>
    </row>
    <row r="56" spans="1:23" ht="12.75">
      <c r="A56" s="130" t="s">
        <v>11</v>
      </c>
      <c r="B56" s="128">
        <v>3.5</v>
      </c>
      <c r="C56" s="128">
        <v>4</v>
      </c>
      <c r="D56" s="128">
        <v>2.9</v>
      </c>
      <c r="E56" s="128">
        <v>4.5</v>
      </c>
      <c r="F56" s="128">
        <v>3.7</v>
      </c>
      <c r="G56" s="128">
        <v>4.8</v>
      </c>
      <c r="H56" s="125"/>
      <c r="I56" s="130" t="s">
        <v>11</v>
      </c>
      <c r="J56" s="128">
        <v>5.4</v>
      </c>
      <c r="K56" s="128">
        <v>5.9</v>
      </c>
      <c r="L56" s="128">
        <v>4.9</v>
      </c>
      <c r="M56" s="128">
        <v>6.3</v>
      </c>
      <c r="N56" s="128">
        <v>5.4</v>
      </c>
      <c r="O56" s="128">
        <v>6.3</v>
      </c>
      <c r="Q56" s="128" t="str">
        <f t="shared" si="6"/>
        <v>C/dB</v>
      </c>
      <c r="R56" s="127">
        <f t="shared" si="7"/>
        <v>-1.9000000000000004</v>
      </c>
      <c r="S56" s="127">
        <f t="shared" si="7"/>
        <v>-1.9000000000000004</v>
      </c>
      <c r="T56" s="127">
        <f t="shared" si="7"/>
        <v>-2.0000000000000004</v>
      </c>
      <c r="U56" s="127">
        <f t="shared" si="7"/>
        <v>-1.7999999999999998</v>
      </c>
      <c r="V56" s="127">
        <f t="shared" si="7"/>
        <v>-1.7000000000000002</v>
      </c>
      <c r="W56" s="127">
        <f t="shared" si="7"/>
        <v>-1.5</v>
      </c>
    </row>
    <row r="57" spans="1:23" ht="13.5" customHeight="1">
      <c r="A57" s="130" t="s">
        <v>12</v>
      </c>
      <c r="B57" s="128">
        <v>67</v>
      </c>
      <c r="C57" s="128">
        <v>61</v>
      </c>
      <c r="D57" s="128">
        <v>72</v>
      </c>
      <c r="E57" s="128">
        <v>58</v>
      </c>
      <c r="F57" s="128">
        <v>65</v>
      </c>
      <c r="G57" s="128">
        <v>57</v>
      </c>
      <c r="H57" s="125"/>
      <c r="I57" s="130" t="s">
        <v>12</v>
      </c>
      <c r="J57" s="128">
        <v>52</v>
      </c>
      <c r="K57" s="128">
        <v>47</v>
      </c>
      <c r="L57" s="128">
        <v>57</v>
      </c>
      <c r="M57" s="128">
        <v>44</v>
      </c>
      <c r="N57" s="128">
        <v>52</v>
      </c>
      <c r="O57" s="128">
        <v>45</v>
      </c>
      <c r="Q57" s="128" t="str">
        <f t="shared" si="6"/>
        <v>TS/ms</v>
      </c>
      <c r="R57" s="127">
        <f t="shared" si="7"/>
        <v>15</v>
      </c>
      <c r="S57" s="127">
        <f t="shared" si="7"/>
        <v>14</v>
      </c>
      <c r="T57" s="127">
        <f t="shared" si="7"/>
        <v>15</v>
      </c>
      <c r="U57" s="127">
        <f t="shared" si="7"/>
        <v>14</v>
      </c>
      <c r="V57" s="127">
        <f t="shared" si="7"/>
        <v>13</v>
      </c>
      <c r="W57" s="127">
        <f t="shared" si="7"/>
        <v>12</v>
      </c>
    </row>
    <row r="58" spans="1:23" ht="12" customHeight="1">
      <c r="A58" s="130" t="s">
        <v>13</v>
      </c>
      <c r="B58" s="136">
        <v>19</v>
      </c>
      <c r="C58" s="128">
        <v>19.7</v>
      </c>
      <c r="D58" s="128">
        <v>18.7</v>
      </c>
      <c r="E58" s="128">
        <v>19.5</v>
      </c>
      <c r="F58" s="128">
        <v>19.1</v>
      </c>
      <c r="G58" s="128">
        <v>19.8</v>
      </c>
      <c r="H58" s="125"/>
      <c r="I58" s="130" t="s">
        <v>13</v>
      </c>
      <c r="J58" s="128">
        <v>17.9</v>
      </c>
      <c r="K58" s="128">
        <v>19.1</v>
      </c>
      <c r="L58" s="128">
        <v>17.9</v>
      </c>
      <c r="M58" s="128">
        <v>18.7</v>
      </c>
      <c r="N58" s="128">
        <v>18.3</v>
      </c>
      <c r="O58" s="128">
        <v>19.3</v>
      </c>
      <c r="Q58" s="128" t="str">
        <f t="shared" si="6"/>
        <v>G/dB</v>
      </c>
      <c r="R58" s="127">
        <f t="shared" si="7"/>
        <v>1.1000000000000014</v>
      </c>
      <c r="S58" s="127">
        <f t="shared" si="7"/>
        <v>0.5999999999999979</v>
      </c>
      <c r="T58" s="127">
        <f t="shared" si="7"/>
        <v>0.8000000000000007</v>
      </c>
      <c r="U58" s="127">
        <f t="shared" si="7"/>
        <v>0.8000000000000007</v>
      </c>
      <c r="V58" s="127">
        <f t="shared" si="7"/>
        <v>0.8000000000000007</v>
      </c>
      <c r="W58" s="127">
        <f t="shared" si="7"/>
        <v>0.5</v>
      </c>
    </row>
    <row r="59" spans="1:23" ht="12.75">
      <c r="A59" s="130" t="s">
        <v>14</v>
      </c>
      <c r="B59" s="128">
        <v>26.5</v>
      </c>
      <c r="C59" s="128">
        <v>23.1</v>
      </c>
      <c r="D59" s="128">
        <v>26</v>
      </c>
      <c r="E59" s="128">
        <v>21.9</v>
      </c>
      <c r="F59" s="128">
        <v>26</v>
      </c>
      <c r="G59" s="128">
        <v>24.7</v>
      </c>
      <c r="H59" s="125"/>
      <c r="I59" s="130" t="s">
        <v>14</v>
      </c>
      <c r="J59" s="128">
        <v>24.2</v>
      </c>
      <c r="K59" s="128">
        <v>23.4</v>
      </c>
      <c r="L59" s="128">
        <v>26</v>
      </c>
      <c r="M59" s="128">
        <v>21.6</v>
      </c>
      <c r="N59" s="128">
        <v>24.7</v>
      </c>
      <c r="O59" s="128">
        <v>24.4</v>
      </c>
      <c r="Q59" s="128" t="str">
        <f t="shared" si="6"/>
        <v>LF/%</v>
      </c>
      <c r="R59" s="127">
        <f t="shared" si="7"/>
        <v>2.3000000000000007</v>
      </c>
      <c r="S59" s="127">
        <f t="shared" si="7"/>
        <v>-0.29999999999999716</v>
      </c>
      <c r="T59" s="127">
        <f t="shared" si="7"/>
        <v>0</v>
      </c>
      <c r="U59" s="127">
        <f t="shared" si="7"/>
        <v>0.29999999999999716</v>
      </c>
      <c r="V59" s="127">
        <f t="shared" si="7"/>
        <v>1.3000000000000007</v>
      </c>
      <c r="W59" s="127">
        <f t="shared" si="7"/>
        <v>0.3000000000000007</v>
      </c>
    </row>
    <row r="60" spans="1:23" ht="12.75">
      <c r="A60" s="130" t="s">
        <v>15</v>
      </c>
      <c r="B60" s="131"/>
      <c r="C60" s="125"/>
      <c r="D60" s="125"/>
      <c r="E60" s="125"/>
      <c r="F60" s="125"/>
      <c r="G60" s="129"/>
      <c r="H60" s="125"/>
      <c r="I60" s="130" t="s">
        <v>15</v>
      </c>
      <c r="J60" s="131"/>
      <c r="K60" s="125"/>
      <c r="L60" s="125"/>
      <c r="M60" s="125"/>
      <c r="N60" s="125"/>
      <c r="O60" s="129"/>
      <c r="Q60" s="128" t="str">
        <f t="shared" si="6"/>
        <v>LFC/%</v>
      </c>
      <c r="R60" s="127">
        <f t="shared" si="7"/>
        <v>0</v>
      </c>
      <c r="S60" s="127">
        <f t="shared" si="7"/>
        <v>0</v>
      </c>
      <c r="T60" s="127">
        <f t="shared" si="7"/>
        <v>0</v>
      </c>
      <c r="U60" s="127">
        <f t="shared" si="7"/>
        <v>0</v>
      </c>
      <c r="V60" s="127">
        <f t="shared" si="7"/>
        <v>0</v>
      </c>
      <c r="W60" s="127">
        <f t="shared" si="7"/>
        <v>0</v>
      </c>
    </row>
    <row r="61" spans="1:23" ht="12.75">
      <c r="A61" s="134" t="s">
        <v>16</v>
      </c>
      <c r="B61" s="135"/>
      <c r="C61" s="132"/>
      <c r="D61" s="132"/>
      <c r="E61" s="132"/>
      <c r="F61" s="132"/>
      <c r="G61" s="133"/>
      <c r="H61" s="125"/>
      <c r="I61" s="134" t="s">
        <v>16</v>
      </c>
      <c r="J61" s="135"/>
      <c r="K61" s="132"/>
      <c r="L61" s="132"/>
      <c r="M61" s="132"/>
      <c r="N61" s="132"/>
      <c r="O61" s="133"/>
      <c r="Q61" s="128" t="str">
        <f t="shared" si="6"/>
        <v>IACC</v>
      </c>
      <c r="R61" s="127">
        <f t="shared" si="7"/>
        <v>0</v>
      </c>
      <c r="S61" s="127">
        <f t="shared" si="7"/>
        <v>0</v>
      </c>
      <c r="T61" s="127">
        <f t="shared" si="7"/>
        <v>0</v>
      </c>
      <c r="U61" s="127">
        <f t="shared" si="7"/>
        <v>0</v>
      </c>
      <c r="V61" s="127">
        <f t="shared" si="7"/>
        <v>0</v>
      </c>
      <c r="W61" s="127">
        <f t="shared" si="7"/>
        <v>0</v>
      </c>
    </row>
    <row r="62" spans="5:15" ht="12.75">
      <c r="E62" s="136"/>
      <c r="F62" s="136"/>
      <c r="G62" s="136"/>
      <c r="H62" s="136"/>
      <c r="M62" s="136"/>
      <c r="N62" s="136"/>
      <c r="O62" s="136"/>
    </row>
    <row r="63" spans="1:18" ht="12.75">
      <c r="A63" s="155" t="s">
        <v>20</v>
      </c>
      <c r="B63" s="156" t="s">
        <v>1</v>
      </c>
      <c r="E63" s="136"/>
      <c r="F63" s="136"/>
      <c r="G63" s="136"/>
      <c r="H63" s="136"/>
      <c r="I63" s="155" t="s">
        <v>20</v>
      </c>
      <c r="J63" s="156" t="s">
        <v>1</v>
      </c>
      <c r="M63" s="136"/>
      <c r="N63" s="136"/>
      <c r="O63" s="136"/>
      <c r="Q63" s="128" t="str">
        <f>+A63</f>
        <v>2000 Hz</v>
      </c>
      <c r="R63" s="128" t="str">
        <f>+B63</f>
        <v>octave</v>
      </c>
    </row>
    <row r="64" spans="1:23" ht="12.75">
      <c r="A64" s="142"/>
      <c r="B64" s="140" t="s">
        <v>2</v>
      </c>
      <c r="C64" s="140" t="s">
        <v>3</v>
      </c>
      <c r="D64" s="139" t="s">
        <v>4</v>
      </c>
      <c r="E64" s="139" t="s">
        <v>5</v>
      </c>
      <c r="F64" s="140" t="s">
        <v>6</v>
      </c>
      <c r="G64" s="139" t="s">
        <v>7</v>
      </c>
      <c r="H64" s="141"/>
      <c r="I64" s="142"/>
      <c r="J64" s="140" t="s">
        <v>2</v>
      </c>
      <c r="K64" s="140" t="s">
        <v>3</v>
      </c>
      <c r="L64" s="139" t="s">
        <v>4</v>
      </c>
      <c r="M64" s="139" t="s">
        <v>5</v>
      </c>
      <c r="N64" s="140" t="s">
        <v>6</v>
      </c>
      <c r="O64" s="139" t="s">
        <v>7</v>
      </c>
      <c r="Q64" s="128">
        <f>+A64</f>
        <v>0</v>
      </c>
      <c r="R64" s="128" t="str">
        <f>+B64</f>
        <v>S1R1</v>
      </c>
      <c r="S64" s="128" t="str">
        <f>+C64</f>
        <v>S1R2</v>
      </c>
      <c r="T64" s="128" t="str">
        <f>+D64</f>
        <v>S1R3</v>
      </c>
      <c r="U64" s="128" t="str">
        <f>+E64</f>
        <v>S2R1</v>
      </c>
      <c r="V64" s="128" t="str">
        <f>+F64</f>
        <v>S2R2</v>
      </c>
      <c r="W64" s="128" t="str">
        <f>+G64</f>
        <v>S2R3</v>
      </c>
    </row>
    <row r="65" spans="1:23" ht="12.75">
      <c r="A65" s="130" t="s">
        <v>8</v>
      </c>
      <c r="B65" s="136">
        <v>1.11</v>
      </c>
      <c r="C65" s="128">
        <v>1.09</v>
      </c>
      <c r="D65" s="128">
        <v>1.09</v>
      </c>
      <c r="E65" s="128">
        <v>1.11</v>
      </c>
      <c r="F65" s="128">
        <v>1.08</v>
      </c>
      <c r="G65" s="128">
        <v>1.1</v>
      </c>
      <c r="H65" s="125"/>
      <c r="I65" s="130" t="s">
        <v>8</v>
      </c>
      <c r="J65" s="128">
        <v>0.75</v>
      </c>
      <c r="K65" s="128">
        <v>0.75</v>
      </c>
      <c r="L65" s="128">
        <v>0.76</v>
      </c>
      <c r="M65" s="128">
        <v>0.73</v>
      </c>
      <c r="N65" s="128">
        <v>0.74</v>
      </c>
      <c r="O65" s="128">
        <v>0.75</v>
      </c>
      <c r="Q65" s="128" t="str">
        <f aca="true" t="shared" si="8" ref="Q65:Q73">+A65</f>
        <v>T30/s</v>
      </c>
      <c r="R65" s="127">
        <f aca="true" t="shared" si="9" ref="R65:W73">+B65-J65</f>
        <v>0.3600000000000001</v>
      </c>
      <c r="S65" s="127">
        <f t="shared" si="9"/>
        <v>0.3400000000000001</v>
      </c>
      <c r="T65" s="127">
        <f t="shared" si="9"/>
        <v>0.33000000000000007</v>
      </c>
      <c r="U65" s="127">
        <f t="shared" si="9"/>
        <v>0.3800000000000001</v>
      </c>
      <c r="V65" s="127">
        <f t="shared" si="9"/>
        <v>0.3400000000000001</v>
      </c>
      <c r="W65" s="127">
        <f t="shared" si="9"/>
        <v>0.3500000000000001</v>
      </c>
    </row>
    <row r="66" spans="1:23" ht="12.75">
      <c r="A66" s="130" t="s">
        <v>9</v>
      </c>
      <c r="B66" s="136">
        <v>1.09</v>
      </c>
      <c r="C66" s="128">
        <v>1.07</v>
      </c>
      <c r="D66" s="128">
        <v>1.14</v>
      </c>
      <c r="E66" s="128">
        <v>1.01</v>
      </c>
      <c r="F66" s="128">
        <v>1.06</v>
      </c>
      <c r="G66" s="128">
        <v>1</v>
      </c>
      <c r="H66" s="125"/>
      <c r="I66" s="130" t="s">
        <v>9</v>
      </c>
      <c r="J66" s="128">
        <v>0.74</v>
      </c>
      <c r="K66" s="128">
        <v>0.73</v>
      </c>
      <c r="L66" s="128">
        <v>0.79</v>
      </c>
      <c r="M66" s="128">
        <v>0.7</v>
      </c>
      <c r="N66" s="128">
        <v>0.74</v>
      </c>
      <c r="O66" s="128">
        <v>0.7</v>
      </c>
      <c r="Q66" s="128" t="str">
        <f t="shared" si="8"/>
        <v>EDT/s</v>
      </c>
      <c r="R66" s="127">
        <f t="shared" si="9"/>
        <v>0.3500000000000001</v>
      </c>
      <c r="S66" s="127">
        <f t="shared" si="9"/>
        <v>0.3400000000000001</v>
      </c>
      <c r="T66" s="127">
        <f t="shared" si="9"/>
        <v>0.34999999999999987</v>
      </c>
      <c r="U66" s="127">
        <f t="shared" si="9"/>
        <v>0.31000000000000005</v>
      </c>
      <c r="V66" s="127">
        <f t="shared" si="9"/>
        <v>0.32000000000000006</v>
      </c>
      <c r="W66" s="127">
        <f t="shared" si="9"/>
        <v>0.30000000000000004</v>
      </c>
    </row>
    <row r="67" spans="1:23" s="194" customFormat="1" ht="12.75">
      <c r="A67" s="190" t="s">
        <v>10</v>
      </c>
      <c r="B67" s="191">
        <v>50</v>
      </c>
      <c r="C67" s="191">
        <v>53</v>
      </c>
      <c r="D67" s="191">
        <v>46</v>
      </c>
      <c r="E67" s="191">
        <v>56</v>
      </c>
      <c r="F67" s="191">
        <v>51</v>
      </c>
      <c r="G67" s="191">
        <v>57</v>
      </c>
      <c r="H67" s="192"/>
      <c r="I67" s="190" t="s">
        <v>10</v>
      </c>
      <c r="J67" s="191">
        <v>64</v>
      </c>
      <c r="K67" s="191">
        <v>66</v>
      </c>
      <c r="L67" s="191">
        <v>59</v>
      </c>
      <c r="M67" s="191">
        <v>68</v>
      </c>
      <c r="N67" s="191">
        <v>63</v>
      </c>
      <c r="O67" s="191">
        <v>68</v>
      </c>
      <c r="Q67" s="128" t="str">
        <f t="shared" si="8"/>
        <v>D/%</v>
      </c>
      <c r="R67" s="127">
        <f t="shared" si="9"/>
        <v>-14</v>
      </c>
      <c r="S67" s="127">
        <f t="shared" si="9"/>
        <v>-13</v>
      </c>
      <c r="T67" s="127">
        <f t="shared" si="9"/>
        <v>-13</v>
      </c>
      <c r="U67" s="127">
        <f t="shared" si="9"/>
        <v>-12</v>
      </c>
      <c r="V67" s="127">
        <f t="shared" si="9"/>
        <v>-12</v>
      </c>
      <c r="W67" s="127">
        <f t="shared" si="9"/>
        <v>-11</v>
      </c>
    </row>
    <row r="68" spans="1:23" ht="12.75">
      <c r="A68" s="130" t="s">
        <v>11</v>
      </c>
      <c r="B68" s="128">
        <v>2.8</v>
      </c>
      <c r="C68" s="128">
        <v>3.3</v>
      </c>
      <c r="D68" s="128">
        <v>2.1</v>
      </c>
      <c r="E68" s="128">
        <v>3.7</v>
      </c>
      <c r="F68" s="128">
        <v>3</v>
      </c>
      <c r="G68" s="128">
        <v>3.9</v>
      </c>
      <c r="H68" s="125"/>
      <c r="I68" s="130" t="s">
        <v>11</v>
      </c>
      <c r="J68" s="128">
        <v>5.6</v>
      </c>
      <c r="K68" s="128">
        <v>6.2</v>
      </c>
      <c r="L68" s="128">
        <v>5.1</v>
      </c>
      <c r="M68" s="128">
        <v>6.6</v>
      </c>
      <c r="N68" s="128">
        <v>5.7</v>
      </c>
      <c r="O68" s="128">
        <v>6.6</v>
      </c>
      <c r="Q68" s="128" t="str">
        <f t="shared" si="8"/>
        <v>C/dB</v>
      </c>
      <c r="R68" s="127">
        <f t="shared" si="9"/>
        <v>-2.8</v>
      </c>
      <c r="S68" s="127">
        <f t="shared" si="9"/>
        <v>-2.9000000000000004</v>
      </c>
      <c r="T68" s="127">
        <f t="shared" si="9"/>
        <v>-2.9999999999999996</v>
      </c>
      <c r="U68" s="127">
        <f t="shared" si="9"/>
        <v>-2.8999999999999995</v>
      </c>
      <c r="V68" s="127">
        <f t="shared" si="9"/>
        <v>-2.7</v>
      </c>
      <c r="W68" s="127">
        <f t="shared" si="9"/>
        <v>-2.6999999999999997</v>
      </c>
    </row>
    <row r="69" spans="1:23" ht="12.75">
      <c r="A69" s="130" t="s">
        <v>12</v>
      </c>
      <c r="B69" s="128">
        <v>75</v>
      </c>
      <c r="C69" s="128">
        <v>69</v>
      </c>
      <c r="D69" s="128">
        <v>81</v>
      </c>
      <c r="E69" s="128">
        <v>65</v>
      </c>
      <c r="F69" s="128">
        <v>73</v>
      </c>
      <c r="G69" s="128">
        <v>64</v>
      </c>
      <c r="H69" s="125"/>
      <c r="I69" s="130" t="s">
        <v>12</v>
      </c>
      <c r="J69" s="128">
        <v>50</v>
      </c>
      <c r="K69" s="128">
        <v>45</v>
      </c>
      <c r="L69" s="128">
        <v>55</v>
      </c>
      <c r="M69" s="128">
        <v>43</v>
      </c>
      <c r="N69" s="128">
        <v>51</v>
      </c>
      <c r="O69" s="128">
        <v>44</v>
      </c>
      <c r="Q69" s="128" t="str">
        <f t="shared" si="8"/>
        <v>TS/ms</v>
      </c>
      <c r="R69" s="127">
        <f t="shared" si="9"/>
        <v>25</v>
      </c>
      <c r="S69" s="127">
        <f t="shared" si="9"/>
        <v>24</v>
      </c>
      <c r="T69" s="127">
        <f t="shared" si="9"/>
        <v>26</v>
      </c>
      <c r="U69" s="127">
        <f t="shared" si="9"/>
        <v>22</v>
      </c>
      <c r="V69" s="127">
        <f t="shared" si="9"/>
        <v>22</v>
      </c>
      <c r="W69" s="127">
        <f t="shared" si="9"/>
        <v>20</v>
      </c>
    </row>
    <row r="70" spans="1:23" ht="12.75">
      <c r="A70" s="130" t="s">
        <v>13</v>
      </c>
      <c r="B70" s="136">
        <v>19.4</v>
      </c>
      <c r="C70" s="128">
        <v>20.1</v>
      </c>
      <c r="D70" s="128">
        <v>19.1</v>
      </c>
      <c r="E70" s="128">
        <v>19.9</v>
      </c>
      <c r="F70" s="128">
        <v>19.5</v>
      </c>
      <c r="G70" s="128">
        <v>20.2</v>
      </c>
      <c r="H70" s="125"/>
      <c r="I70" s="130" t="s">
        <v>13</v>
      </c>
      <c r="J70" s="128">
        <v>17.7</v>
      </c>
      <c r="K70" s="128">
        <v>19</v>
      </c>
      <c r="L70" s="128">
        <v>17.8</v>
      </c>
      <c r="M70" s="128">
        <v>18.5</v>
      </c>
      <c r="N70" s="128">
        <v>18.2</v>
      </c>
      <c r="O70" s="128">
        <v>19.2</v>
      </c>
      <c r="Q70" s="128" t="str">
        <f t="shared" si="8"/>
        <v>G/dB</v>
      </c>
      <c r="R70" s="127">
        <f t="shared" si="9"/>
        <v>1.6999999999999993</v>
      </c>
      <c r="S70" s="127">
        <f t="shared" si="9"/>
        <v>1.1000000000000014</v>
      </c>
      <c r="T70" s="127">
        <f t="shared" si="9"/>
        <v>1.3000000000000007</v>
      </c>
      <c r="U70" s="127">
        <f t="shared" si="9"/>
        <v>1.3999999999999986</v>
      </c>
      <c r="V70" s="127">
        <f t="shared" si="9"/>
        <v>1.3000000000000007</v>
      </c>
      <c r="W70" s="127">
        <f t="shared" si="9"/>
        <v>1</v>
      </c>
    </row>
    <row r="71" spans="1:23" ht="12.75">
      <c r="A71" s="130" t="s">
        <v>14</v>
      </c>
      <c r="B71" s="128">
        <v>26.5</v>
      </c>
      <c r="C71" s="128">
        <v>23.3</v>
      </c>
      <c r="D71" s="128">
        <v>26.2</v>
      </c>
      <c r="E71" s="128">
        <v>22.1</v>
      </c>
      <c r="F71" s="128">
        <v>26.1</v>
      </c>
      <c r="G71" s="128">
        <v>24.8</v>
      </c>
      <c r="H71" s="125"/>
      <c r="I71" s="130" t="s">
        <v>14</v>
      </c>
      <c r="J71" s="128">
        <v>23.1</v>
      </c>
      <c r="K71" s="128">
        <v>23.3</v>
      </c>
      <c r="L71" s="128">
        <v>25.8</v>
      </c>
      <c r="M71" s="128">
        <v>20.7</v>
      </c>
      <c r="N71" s="128">
        <v>24.2</v>
      </c>
      <c r="O71" s="128">
        <v>24</v>
      </c>
      <c r="Q71" s="128" t="str">
        <f t="shared" si="8"/>
        <v>LF/%</v>
      </c>
      <c r="R71" s="127">
        <f t="shared" si="9"/>
        <v>3.3999999999999986</v>
      </c>
      <c r="S71" s="127">
        <f t="shared" si="9"/>
        <v>0</v>
      </c>
      <c r="T71" s="127">
        <f t="shared" si="9"/>
        <v>0.3999999999999986</v>
      </c>
      <c r="U71" s="127">
        <f t="shared" si="9"/>
        <v>1.4000000000000021</v>
      </c>
      <c r="V71" s="127">
        <f t="shared" si="9"/>
        <v>1.9000000000000021</v>
      </c>
      <c r="W71" s="127">
        <f t="shared" si="9"/>
        <v>0.8000000000000007</v>
      </c>
    </row>
    <row r="72" spans="1:23" ht="12.75">
      <c r="A72" s="130" t="s">
        <v>15</v>
      </c>
      <c r="B72" s="131"/>
      <c r="C72" s="125"/>
      <c r="D72" s="125"/>
      <c r="E72" s="125"/>
      <c r="F72" s="125"/>
      <c r="G72" s="129"/>
      <c r="H72" s="125"/>
      <c r="I72" s="130" t="s">
        <v>15</v>
      </c>
      <c r="J72" s="131"/>
      <c r="K72" s="125"/>
      <c r="L72" s="125"/>
      <c r="M72" s="125"/>
      <c r="N72" s="125"/>
      <c r="O72" s="129"/>
      <c r="Q72" s="128" t="str">
        <f t="shared" si="8"/>
        <v>LFC/%</v>
      </c>
      <c r="R72" s="127">
        <f t="shared" si="9"/>
        <v>0</v>
      </c>
      <c r="S72" s="127">
        <f t="shared" si="9"/>
        <v>0</v>
      </c>
      <c r="T72" s="127">
        <f t="shared" si="9"/>
        <v>0</v>
      </c>
      <c r="U72" s="127">
        <f t="shared" si="9"/>
        <v>0</v>
      </c>
      <c r="V72" s="127">
        <f t="shared" si="9"/>
        <v>0</v>
      </c>
      <c r="W72" s="127">
        <f t="shared" si="9"/>
        <v>0</v>
      </c>
    </row>
    <row r="73" spans="1:23" ht="12.75">
      <c r="A73" s="134" t="s">
        <v>16</v>
      </c>
      <c r="B73" s="135"/>
      <c r="C73" s="132"/>
      <c r="D73" s="132"/>
      <c r="E73" s="132"/>
      <c r="F73" s="132"/>
      <c r="G73" s="133"/>
      <c r="H73" s="125"/>
      <c r="I73" s="134" t="s">
        <v>16</v>
      </c>
      <c r="J73" s="135"/>
      <c r="K73" s="132"/>
      <c r="L73" s="132"/>
      <c r="M73" s="132"/>
      <c r="N73" s="132"/>
      <c r="O73" s="133"/>
      <c r="Q73" s="128" t="str">
        <f t="shared" si="8"/>
        <v>IACC</v>
      </c>
      <c r="R73" s="127">
        <f t="shared" si="9"/>
        <v>0</v>
      </c>
      <c r="S73" s="127">
        <f t="shared" si="9"/>
        <v>0</v>
      </c>
      <c r="T73" s="127">
        <f t="shared" si="9"/>
        <v>0</v>
      </c>
      <c r="U73" s="127">
        <f t="shared" si="9"/>
        <v>0</v>
      </c>
      <c r="V73" s="127">
        <f t="shared" si="9"/>
        <v>0</v>
      </c>
      <c r="W73" s="127">
        <f t="shared" si="9"/>
        <v>0</v>
      </c>
    </row>
    <row r="74" spans="5:15" ht="12.75">
      <c r="E74" s="136"/>
      <c r="F74" s="136"/>
      <c r="G74" s="136"/>
      <c r="H74" s="136"/>
      <c r="M74" s="136"/>
      <c r="N74" s="136"/>
      <c r="O74" s="136"/>
    </row>
    <row r="75" spans="1:18" ht="12.75">
      <c r="A75" s="155" t="s">
        <v>21</v>
      </c>
      <c r="B75" s="156" t="s">
        <v>1</v>
      </c>
      <c r="E75" s="136"/>
      <c r="F75" s="136"/>
      <c r="G75" s="136"/>
      <c r="H75" s="136"/>
      <c r="I75" s="155" t="s">
        <v>21</v>
      </c>
      <c r="J75" s="156" t="s">
        <v>1</v>
      </c>
      <c r="M75" s="136"/>
      <c r="N75" s="136"/>
      <c r="O75" s="136"/>
      <c r="Q75" s="128" t="str">
        <f>+A75</f>
        <v>4000 Hz</v>
      </c>
      <c r="R75" s="128" t="str">
        <f>+B75</f>
        <v>octave</v>
      </c>
    </row>
    <row r="76" spans="1:23" ht="12.75">
      <c r="A76" s="142"/>
      <c r="B76" s="140" t="s">
        <v>2</v>
      </c>
      <c r="C76" s="140" t="s">
        <v>3</v>
      </c>
      <c r="D76" s="139" t="s">
        <v>4</v>
      </c>
      <c r="E76" s="139" t="s">
        <v>5</v>
      </c>
      <c r="F76" s="140" t="s">
        <v>6</v>
      </c>
      <c r="G76" s="139" t="s">
        <v>7</v>
      </c>
      <c r="H76" s="141"/>
      <c r="I76" s="142"/>
      <c r="J76" s="140" t="s">
        <v>2</v>
      </c>
      <c r="K76" s="140" t="s">
        <v>3</v>
      </c>
      <c r="L76" s="139" t="s">
        <v>4</v>
      </c>
      <c r="M76" s="139" t="s">
        <v>5</v>
      </c>
      <c r="N76" s="140" t="s">
        <v>6</v>
      </c>
      <c r="O76" s="139" t="s">
        <v>7</v>
      </c>
      <c r="Q76" s="128">
        <f>+A76</f>
        <v>0</v>
      </c>
      <c r="R76" s="128" t="str">
        <f>+B76</f>
        <v>S1R1</v>
      </c>
      <c r="S76" s="128" t="str">
        <f>+C76</f>
        <v>S1R2</v>
      </c>
      <c r="T76" s="128" t="str">
        <f>+D76</f>
        <v>S1R3</v>
      </c>
      <c r="U76" s="128" t="str">
        <f>+E76</f>
        <v>S2R1</v>
      </c>
      <c r="V76" s="128" t="str">
        <f>+F76</f>
        <v>S2R2</v>
      </c>
      <c r="W76" s="128" t="str">
        <f>+G76</f>
        <v>S2R3</v>
      </c>
    </row>
    <row r="77" spans="1:23" ht="12.75">
      <c r="A77" s="130" t="s">
        <v>8</v>
      </c>
      <c r="B77" s="128">
        <v>0.94</v>
      </c>
      <c r="C77" s="128">
        <v>0.88</v>
      </c>
      <c r="D77" s="128">
        <v>0.97</v>
      </c>
      <c r="E77" s="128">
        <v>0.89</v>
      </c>
      <c r="F77" s="128">
        <v>0.91</v>
      </c>
      <c r="G77" s="128">
        <v>0.94</v>
      </c>
      <c r="H77" s="125"/>
      <c r="I77" s="130" t="s">
        <v>8</v>
      </c>
      <c r="J77" s="128">
        <v>0.6</v>
      </c>
      <c r="K77" s="128">
        <v>0.65</v>
      </c>
      <c r="L77" s="128">
        <v>0.62</v>
      </c>
      <c r="M77" s="128">
        <v>0.6</v>
      </c>
      <c r="N77" s="128">
        <v>0.61</v>
      </c>
      <c r="O77" s="128">
        <v>0.63</v>
      </c>
      <c r="Q77" s="128" t="str">
        <f aca="true" t="shared" si="10" ref="Q77:Q85">+A77</f>
        <v>T30/s</v>
      </c>
      <c r="R77" s="127">
        <f aca="true" t="shared" si="11" ref="R77:W85">+B77-J77</f>
        <v>0.33999999999999997</v>
      </c>
      <c r="S77" s="127">
        <f t="shared" si="11"/>
        <v>0.22999999999999998</v>
      </c>
      <c r="T77" s="127">
        <f t="shared" si="11"/>
        <v>0.35</v>
      </c>
      <c r="U77" s="127">
        <f t="shared" si="11"/>
        <v>0.29000000000000004</v>
      </c>
      <c r="V77" s="127">
        <f t="shared" si="11"/>
        <v>0.30000000000000004</v>
      </c>
      <c r="W77" s="127">
        <f t="shared" si="11"/>
        <v>0.30999999999999994</v>
      </c>
    </row>
    <row r="78" spans="1:23" ht="12.75">
      <c r="A78" s="130" t="s">
        <v>9</v>
      </c>
      <c r="B78" s="128">
        <v>0.92</v>
      </c>
      <c r="C78" s="128">
        <v>0.9</v>
      </c>
      <c r="D78" s="128">
        <v>0.97</v>
      </c>
      <c r="E78" s="128">
        <v>0.85</v>
      </c>
      <c r="F78" s="128">
        <v>0.89</v>
      </c>
      <c r="G78" s="128">
        <v>0.83</v>
      </c>
      <c r="H78" s="125"/>
      <c r="I78" s="130" t="s">
        <v>9</v>
      </c>
      <c r="J78" s="128">
        <v>0.62</v>
      </c>
      <c r="K78" s="128">
        <v>0.61</v>
      </c>
      <c r="L78" s="128">
        <v>0.67</v>
      </c>
      <c r="M78" s="128">
        <v>0.58</v>
      </c>
      <c r="N78" s="128">
        <v>0.62</v>
      </c>
      <c r="O78" s="128">
        <v>0.59</v>
      </c>
      <c r="Q78" s="128" t="str">
        <f t="shared" si="10"/>
        <v>EDT/s</v>
      </c>
      <c r="R78" s="127">
        <f t="shared" si="11"/>
        <v>0.30000000000000004</v>
      </c>
      <c r="S78" s="127">
        <f t="shared" si="11"/>
        <v>0.29000000000000004</v>
      </c>
      <c r="T78" s="127">
        <f t="shared" si="11"/>
        <v>0.29999999999999993</v>
      </c>
      <c r="U78" s="127">
        <f t="shared" si="11"/>
        <v>0.27</v>
      </c>
      <c r="V78" s="127">
        <f t="shared" si="11"/>
        <v>0.27</v>
      </c>
      <c r="W78" s="127">
        <f t="shared" si="11"/>
        <v>0.24</v>
      </c>
    </row>
    <row r="79" spans="1:23" s="194" customFormat="1" ht="12.75">
      <c r="A79" s="190" t="s">
        <v>10</v>
      </c>
      <c r="B79" s="194">
        <v>56</v>
      </c>
      <c r="C79" s="194">
        <v>59</v>
      </c>
      <c r="D79" s="194">
        <v>52</v>
      </c>
      <c r="E79" s="194">
        <v>61</v>
      </c>
      <c r="F79" s="194">
        <v>57</v>
      </c>
      <c r="G79" s="194">
        <v>63</v>
      </c>
      <c r="H79" s="195"/>
      <c r="I79" s="190" t="s">
        <v>10</v>
      </c>
      <c r="J79" s="194">
        <v>70</v>
      </c>
      <c r="K79" s="194">
        <v>72</v>
      </c>
      <c r="L79" s="194">
        <v>65</v>
      </c>
      <c r="M79" s="194">
        <v>75</v>
      </c>
      <c r="N79" s="194">
        <v>70</v>
      </c>
      <c r="O79" s="194">
        <v>74</v>
      </c>
      <c r="Q79" s="128" t="str">
        <f t="shared" si="10"/>
        <v>D/%</v>
      </c>
      <c r="R79" s="127">
        <f t="shared" si="11"/>
        <v>-14</v>
      </c>
      <c r="S79" s="127">
        <f t="shared" si="11"/>
        <v>-13</v>
      </c>
      <c r="T79" s="127">
        <f t="shared" si="11"/>
        <v>-13</v>
      </c>
      <c r="U79" s="127">
        <f t="shared" si="11"/>
        <v>-14</v>
      </c>
      <c r="V79" s="127">
        <f t="shared" si="11"/>
        <v>-13</v>
      </c>
      <c r="W79" s="127">
        <f t="shared" si="11"/>
        <v>-11</v>
      </c>
    </row>
    <row r="80" spans="1:23" ht="12.75">
      <c r="A80" s="130" t="s">
        <v>11</v>
      </c>
      <c r="B80" s="128">
        <v>4</v>
      </c>
      <c r="C80" s="128">
        <v>4.5</v>
      </c>
      <c r="D80" s="128">
        <v>3.3</v>
      </c>
      <c r="E80" s="128">
        <v>5</v>
      </c>
      <c r="F80" s="128">
        <v>4.2</v>
      </c>
      <c r="G80" s="128">
        <v>5.2</v>
      </c>
      <c r="H80" s="125"/>
      <c r="I80" s="130" t="s">
        <v>11</v>
      </c>
      <c r="J80" s="128">
        <v>7.2</v>
      </c>
      <c r="K80" s="128">
        <v>7.8</v>
      </c>
      <c r="L80" s="128">
        <v>6.6</v>
      </c>
      <c r="M80" s="128">
        <v>8.2</v>
      </c>
      <c r="N80" s="128">
        <v>7.2</v>
      </c>
      <c r="O80" s="128">
        <v>8.2</v>
      </c>
      <c r="Q80" s="128" t="str">
        <f t="shared" si="10"/>
        <v>C/dB</v>
      </c>
      <c r="R80" s="127">
        <f t="shared" si="11"/>
        <v>-3.2</v>
      </c>
      <c r="S80" s="127">
        <f t="shared" si="11"/>
        <v>-3.3</v>
      </c>
      <c r="T80" s="127">
        <f t="shared" si="11"/>
        <v>-3.3</v>
      </c>
      <c r="U80" s="127">
        <f t="shared" si="11"/>
        <v>-3.1999999999999993</v>
      </c>
      <c r="V80" s="127">
        <f t="shared" si="11"/>
        <v>-3</v>
      </c>
      <c r="W80" s="127">
        <f t="shared" si="11"/>
        <v>-2.999999999999999</v>
      </c>
    </row>
    <row r="81" spans="1:23" ht="12.75">
      <c r="A81" s="130" t="s">
        <v>12</v>
      </c>
      <c r="B81" s="128">
        <v>63</v>
      </c>
      <c r="C81" s="128">
        <v>57</v>
      </c>
      <c r="D81" s="128">
        <v>68</v>
      </c>
      <c r="E81" s="128">
        <v>54</v>
      </c>
      <c r="F81" s="128">
        <v>61</v>
      </c>
      <c r="G81" s="128">
        <v>53</v>
      </c>
      <c r="H81" s="125"/>
      <c r="I81" s="130" t="s">
        <v>12</v>
      </c>
      <c r="J81" s="128">
        <v>41</v>
      </c>
      <c r="K81" s="128">
        <v>37</v>
      </c>
      <c r="L81" s="128">
        <v>46</v>
      </c>
      <c r="M81" s="128">
        <v>35</v>
      </c>
      <c r="N81" s="128">
        <v>42</v>
      </c>
      <c r="O81" s="128">
        <v>36</v>
      </c>
      <c r="Q81" s="128" t="str">
        <f t="shared" si="10"/>
        <v>TS/ms</v>
      </c>
      <c r="R81" s="127">
        <f t="shared" si="11"/>
        <v>22</v>
      </c>
      <c r="S81" s="127">
        <f t="shared" si="11"/>
        <v>20</v>
      </c>
      <c r="T81" s="127">
        <f t="shared" si="11"/>
        <v>22</v>
      </c>
      <c r="U81" s="127">
        <f t="shared" si="11"/>
        <v>19</v>
      </c>
      <c r="V81" s="127">
        <f t="shared" si="11"/>
        <v>19</v>
      </c>
      <c r="W81" s="127">
        <f t="shared" si="11"/>
        <v>17</v>
      </c>
    </row>
    <row r="82" spans="1:23" ht="12.75">
      <c r="A82" s="130" t="s">
        <v>13</v>
      </c>
      <c r="B82" s="128">
        <v>18.6</v>
      </c>
      <c r="C82" s="128">
        <v>19.4</v>
      </c>
      <c r="D82" s="128">
        <v>18.3</v>
      </c>
      <c r="E82" s="128">
        <v>19.2</v>
      </c>
      <c r="F82" s="128">
        <v>18.7</v>
      </c>
      <c r="G82" s="128">
        <v>19.5</v>
      </c>
      <c r="H82" s="125"/>
      <c r="I82" s="130" t="s">
        <v>13</v>
      </c>
      <c r="J82" s="128">
        <v>16.9</v>
      </c>
      <c r="K82" s="128">
        <v>18.3</v>
      </c>
      <c r="L82" s="128">
        <v>16.9</v>
      </c>
      <c r="M82" s="128">
        <v>17.8</v>
      </c>
      <c r="N82" s="128">
        <v>17.4</v>
      </c>
      <c r="O82" s="128">
        <v>18.5</v>
      </c>
      <c r="Q82" s="128" t="str">
        <f t="shared" si="10"/>
        <v>G/dB</v>
      </c>
      <c r="R82" s="127">
        <f t="shared" si="11"/>
        <v>1.7000000000000028</v>
      </c>
      <c r="S82" s="127">
        <f t="shared" si="11"/>
        <v>1.0999999999999979</v>
      </c>
      <c r="T82" s="127">
        <f t="shared" si="11"/>
        <v>1.4000000000000021</v>
      </c>
      <c r="U82" s="127">
        <f t="shared" si="11"/>
        <v>1.3999999999999986</v>
      </c>
      <c r="V82" s="127">
        <f t="shared" si="11"/>
        <v>1.3000000000000007</v>
      </c>
      <c r="W82" s="127">
        <f t="shared" si="11"/>
        <v>1</v>
      </c>
    </row>
    <row r="83" spans="1:23" ht="12.75">
      <c r="A83" s="130" t="s">
        <v>14</v>
      </c>
      <c r="B83" s="128">
        <v>26.1</v>
      </c>
      <c r="C83" s="128">
        <v>22.8</v>
      </c>
      <c r="D83" s="128">
        <v>25.8</v>
      </c>
      <c r="E83" s="128">
        <v>21.6</v>
      </c>
      <c r="F83" s="128">
        <v>25.6</v>
      </c>
      <c r="G83" s="128">
        <v>24.3</v>
      </c>
      <c r="H83" s="125"/>
      <c r="I83" s="130" t="s">
        <v>14</v>
      </c>
      <c r="J83" s="128">
        <v>22</v>
      </c>
      <c r="K83" s="128">
        <v>22.6</v>
      </c>
      <c r="L83" s="128">
        <v>25.1</v>
      </c>
      <c r="M83" s="128">
        <v>19.7</v>
      </c>
      <c r="N83" s="128">
        <v>23.5</v>
      </c>
      <c r="O83" s="128">
        <v>23.3</v>
      </c>
      <c r="Q83" s="128" t="str">
        <f t="shared" si="10"/>
        <v>LF/%</v>
      </c>
      <c r="R83" s="127">
        <f t="shared" si="11"/>
        <v>4.100000000000001</v>
      </c>
      <c r="S83" s="127">
        <f t="shared" si="11"/>
        <v>0.1999999999999993</v>
      </c>
      <c r="T83" s="127">
        <f t="shared" si="11"/>
        <v>0.6999999999999993</v>
      </c>
      <c r="U83" s="127">
        <f t="shared" si="11"/>
        <v>1.9000000000000021</v>
      </c>
      <c r="V83" s="127">
        <f t="shared" si="11"/>
        <v>2.1000000000000014</v>
      </c>
      <c r="W83" s="127">
        <f t="shared" si="11"/>
        <v>1</v>
      </c>
    </row>
    <row r="84" spans="1:23" ht="12.75">
      <c r="A84" s="130" t="s">
        <v>15</v>
      </c>
      <c r="B84" s="131"/>
      <c r="C84" s="125"/>
      <c r="D84" s="125"/>
      <c r="E84" s="125"/>
      <c r="F84" s="125"/>
      <c r="G84" s="129"/>
      <c r="H84" s="125"/>
      <c r="I84" s="130" t="s">
        <v>15</v>
      </c>
      <c r="J84" s="131"/>
      <c r="K84" s="125"/>
      <c r="L84" s="125"/>
      <c r="M84" s="125"/>
      <c r="N84" s="125"/>
      <c r="O84" s="129"/>
      <c r="Q84" s="128" t="str">
        <f t="shared" si="10"/>
        <v>LFC/%</v>
      </c>
      <c r="R84" s="127">
        <f t="shared" si="11"/>
        <v>0</v>
      </c>
      <c r="S84" s="127">
        <f t="shared" si="11"/>
        <v>0</v>
      </c>
      <c r="T84" s="127">
        <f t="shared" si="11"/>
        <v>0</v>
      </c>
      <c r="U84" s="127">
        <f t="shared" si="11"/>
        <v>0</v>
      </c>
      <c r="V84" s="127">
        <f t="shared" si="11"/>
        <v>0</v>
      </c>
      <c r="W84" s="127">
        <f t="shared" si="11"/>
        <v>0</v>
      </c>
    </row>
    <row r="85" spans="1:23" ht="12.75">
      <c r="A85" s="134" t="s">
        <v>16</v>
      </c>
      <c r="B85" s="135"/>
      <c r="C85" s="132"/>
      <c r="D85" s="132"/>
      <c r="E85" s="132"/>
      <c r="F85" s="132"/>
      <c r="G85" s="133"/>
      <c r="H85" s="125"/>
      <c r="I85" s="134" t="s">
        <v>16</v>
      </c>
      <c r="J85" s="135"/>
      <c r="K85" s="132"/>
      <c r="L85" s="132"/>
      <c r="M85" s="132"/>
      <c r="N85" s="132"/>
      <c r="O85" s="133"/>
      <c r="Q85" s="128" t="str">
        <f t="shared" si="10"/>
        <v>IACC</v>
      </c>
      <c r="R85" s="127">
        <f t="shared" si="11"/>
        <v>0</v>
      </c>
      <c r="S85" s="127">
        <f t="shared" si="11"/>
        <v>0</v>
      </c>
      <c r="T85" s="127">
        <f t="shared" si="11"/>
        <v>0</v>
      </c>
      <c r="U85" s="127">
        <f t="shared" si="11"/>
        <v>0</v>
      </c>
      <c r="V85" s="127">
        <f t="shared" si="11"/>
        <v>0</v>
      </c>
      <c r="W85" s="127">
        <f t="shared" si="11"/>
        <v>0</v>
      </c>
    </row>
    <row r="86" spans="5:15" ht="12.75">
      <c r="E86" s="136"/>
      <c r="F86" s="136"/>
      <c r="G86" s="136"/>
      <c r="H86" s="136"/>
      <c r="M86" s="136"/>
      <c r="N86" s="136"/>
      <c r="O86" s="136"/>
    </row>
    <row r="87" spans="5:15" ht="12.75">
      <c r="E87" s="136"/>
      <c r="F87" s="136"/>
      <c r="G87" s="136"/>
      <c r="H87" s="136"/>
      <c r="M87" s="136"/>
      <c r="N87" s="136"/>
      <c r="O87" s="136"/>
    </row>
    <row r="88" spans="1:15" ht="12.75">
      <c r="A88" s="146"/>
      <c r="E88" s="136"/>
      <c r="F88" s="136"/>
      <c r="G88" s="136"/>
      <c r="H88" s="136"/>
      <c r="I88" s="146"/>
      <c r="M88" s="136"/>
      <c r="N88" s="136"/>
      <c r="O88" s="136"/>
    </row>
  </sheetData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2"/>
  <dimension ref="A1:W93"/>
  <sheetViews>
    <sheetView zoomScale="75" zoomScaleNormal="75" workbookViewId="0" topLeftCell="A1">
      <selection activeCell="F37" sqref="F37"/>
    </sheetView>
  </sheetViews>
  <sheetFormatPr defaultColWidth="11.5546875" defaultRowHeight="15"/>
  <cols>
    <col min="1" max="1" width="7.77734375" style="128" customWidth="1"/>
    <col min="2" max="15" width="6.77734375" style="160" customWidth="1"/>
    <col min="16" max="16" width="6.77734375" style="128" customWidth="1"/>
    <col min="17" max="17" width="11.5546875" style="128" customWidth="1" collapsed="1"/>
    <col min="18" max="16384" width="11.5546875" style="128" customWidth="1"/>
  </cols>
  <sheetData>
    <row r="1" spans="1:10" ht="13.5" thickBot="1">
      <c r="A1" s="148"/>
      <c r="B1" s="159"/>
      <c r="C1" s="159"/>
      <c r="D1" s="159"/>
      <c r="E1" s="159"/>
      <c r="F1" s="159"/>
      <c r="G1" s="159"/>
      <c r="H1" s="159"/>
      <c r="I1" s="159"/>
      <c r="J1" s="159"/>
    </row>
    <row r="2" spans="1:5" ht="13.5" thickBot="1">
      <c r="A2" s="3"/>
      <c r="B2" s="47"/>
      <c r="E2" s="161"/>
    </row>
    <row r="3" ht="12.75">
      <c r="B3" s="161"/>
    </row>
    <row r="4" spans="2:8" ht="12.75">
      <c r="B4" s="161"/>
      <c r="E4" s="161"/>
      <c r="H4" s="162"/>
    </row>
    <row r="5" spans="1:7" ht="12.75">
      <c r="A5" s="150"/>
      <c r="B5" s="163"/>
      <c r="C5" s="164"/>
      <c r="E5" s="161"/>
      <c r="G5" s="165"/>
    </row>
    <row r="6" spans="1:3" ht="12" customHeight="1">
      <c r="A6" s="153"/>
      <c r="B6" s="163"/>
      <c r="C6" s="166"/>
    </row>
    <row r="7" spans="2:3" ht="12.75">
      <c r="B7" s="163"/>
      <c r="C7" s="166"/>
    </row>
    <row r="8" spans="1:6" ht="12.75">
      <c r="A8" s="150"/>
      <c r="B8" s="163"/>
      <c r="C8" s="163"/>
      <c r="E8" s="167"/>
      <c r="F8" s="168"/>
    </row>
    <row r="9" spans="11:14" ht="12.75">
      <c r="K9" s="168"/>
      <c r="N9" s="161"/>
    </row>
    <row r="10" spans="9:14" ht="12.75">
      <c r="I10" s="164"/>
      <c r="K10" s="168"/>
      <c r="N10" s="161"/>
    </row>
    <row r="11" ht="12.75">
      <c r="E11" s="164"/>
    </row>
    <row r="12" spans="1:2" ht="12.75">
      <c r="A12" s="82"/>
      <c r="B12" s="169"/>
    </row>
    <row r="14" spans="1:17" ht="12.75">
      <c r="A14" s="128" t="s">
        <v>27</v>
      </c>
      <c r="I14" s="160" t="s">
        <v>28</v>
      </c>
      <c r="Q14" s="128" t="s">
        <v>32</v>
      </c>
    </row>
    <row r="15" spans="1:18" ht="12.75">
      <c r="A15" s="155" t="s">
        <v>0</v>
      </c>
      <c r="B15" s="170" t="s">
        <v>1</v>
      </c>
      <c r="E15" s="171"/>
      <c r="F15" s="171"/>
      <c r="G15" s="171"/>
      <c r="H15" s="171"/>
      <c r="I15" s="172" t="s">
        <v>0</v>
      </c>
      <c r="J15" s="170" t="s">
        <v>1</v>
      </c>
      <c r="M15" s="171"/>
      <c r="N15" s="171"/>
      <c r="O15" s="171"/>
      <c r="Q15" s="128" t="str">
        <f>+A15</f>
        <v>125 Hz</v>
      </c>
      <c r="R15" s="128" t="str">
        <f>+B15</f>
        <v>octave</v>
      </c>
    </row>
    <row r="16" spans="1:23" ht="12.75">
      <c r="A16" s="142"/>
      <c r="B16" s="173" t="s">
        <v>2</v>
      </c>
      <c r="C16" s="173" t="s">
        <v>3</v>
      </c>
      <c r="D16" s="174" t="s">
        <v>4</v>
      </c>
      <c r="E16" s="174" t="s">
        <v>5</v>
      </c>
      <c r="F16" s="173" t="s">
        <v>6</v>
      </c>
      <c r="G16" s="174" t="s">
        <v>7</v>
      </c>
      <c r="H16" s="175"/>
      <c r="I16" s="176"/>
      <c r="J16" s="173" t="s">
        <v>2</v>
      </c>
      <c r="K16" s="173" t="s">
        <v>3</v>
      </c>
      <c r="L16" s="174" t="s">
        <v>4</v>
      </c>
      <c r="M16" s="174" t="s">
        <v>5</v>
      </c>
      <c r="N16" s="173" t="s">
        <v>6</v>
      </c>
      <c r="O16" s="174" t="s">
        <v>7</v>
      </c>
      <c r="P16" s="157"/>
      <c r="Q16" s="128">
        <f>+A16</f>
        <v>0</v>
      </c>
      <c r="R16" s="128" t="str">
        <f>+B16</f>
        <v>S1R1</v>
      </c>
      <c r="S16" s="128" t="str">
        <f>+C16</f>
        <v>S1R2</v>
      </c>
      <c r="T16" s="128" t="str">
        <f>+D16</f>
        <v>S1R3</v>
      </c>
      <c r="U16" s="128" t="str">
        <f>+E16</f>
        <v>S2R1</v>
      </c>
      <c r="V16" s="128" t="str">
        <f>+F16</f>
        <v>S2R2</v>
      </c>
      <c r="W16" s="128" t="str">
        <f>+G16</f>
        <v>S2R3</v>
      </c>
    </row>
    <row r="17" spans="1:23" ht="12.75">
      <c r="A17" s="130" t="s">
        <v>8</v>
      </c>
      <c r="B17" s="177">
        <v>0.89</v>
      </c>
      <c r="C17" s="178">
        <v>0.89</v>
      </c>
      <c r="D17" s="178">
        <v>0.89</v>
      </c>
      <c r="E17" s="179">
        <v>0.8833333333333333</v>
      </c>
      <c r="F17" s="178">
        <v>0.8933333333333332</v>
      </c>
      <c r="G17" s="180">
        <v>0.8866666666666667</v>
      </c>
      <c r="H17" s="181"/>
      <c r="I17" s="182" t="s">
        <v>8</v>
      </c>
      <c r="J17" s="177">
        <v>0.8333333333333334</v>
      </c>
      <c r="K17" s="178">
        <v>0.83</v>
      </c>
      <c r="L17" s="178">
        <v>0.8333333333333334</v>
      </c>
      <c r="M17" s="179">
        <v>0.8266666666666667</v>
      </c>
      <c r="N17" s="178">
        <v>0.8333333333333334</v>
      </c>
      <c r="O17" s="180">
        <v>0.83</v>
      </c>
      <c r="P17" s="158"/>
      <c r="Q17" s="128" t="str">
        <f aca="true" t="shared" si="0" ref="Q17:Q25">+A17</f>
        <v>T30/s</v>
      </c>
      <c r="R17" s="127">
        <f aca="true" t="shared" si="1" ref="R17:W25">+B17-J17</f>
        <v>0.05666666666666664</v>
      </c>
      <c r="S17" s="127">
        <f t="shared" si="1"/>
        <v>0.06000000000000005</v>
      </c>
      <c r="T17" s="127">
        <f t="shared" si="1"/>
        <v>0.05666666666666664</v>
      </c>
      <c r="U17" s="127">
        <f t="shared" si="1"/>
        <v>0.05666666666666664</v>
      </c>
      <c r="V17" s="127">
        <f t="shared" si="1"/>
        <v>0.05999999999999983</v>
      </c>
      <c r="W17" s="127">
        <f t="shared" si="1"/>
        <v>0.056666666666666754</v>
      </c>
    </row>
    <row r="18" spans="1:23" ht="12.75">
      <c r="A18" s="130" t="s">
        <v>9</v>
      </c>
      <c r="B18" s="183">
        <v>0.8733333333333334</v>
      </c>
      <c r="C18" s="179">
        <v>0.86</v>
      </c>
      <c r="D18" s="179">
        <v>0.89</v>
      </c>
      <c r="E18" s="179">
        <v>0.8366666666666668</v>
      </c>
      <c r="F18" s="179">
        <v>0.8766666666666666</v>
      </c>
      <c r="G18" s="184">
        <v>0.8366666666666668</v>
      </c>
      <c r="H18" s="181"/>
      <c r="I18" s="182" t="s">
        <v>9</v>
      </c>
      <c r="J18" s="183">
        <v>0.8133333333333334</v>
      </c>
      <c r="K18" s="179">
        <v>0.8133333333333334</v>
      </c>
      <c r="L18" s="179">
        <v>0.8266666666666667</v>
      </c>
      <c r="M18" s="179">
        <v>0.79</v>
      </c>
      <c r="N18" s="179">
        <v>0.8266666666666667</v>
      </c>
      <c r="O18" s="184">
        <v>0.7933333333333333</v>
      </c>
      <c r="P18" s="158"/>
      <c r="Q18" s="128" t="str">
        <f t="shared" si="0"/>
        <v>EDT/s</v>
      </c>
      <c r="R18" s="127">
        <f t="shared" si="1"/>
        <v>0.06000000000000005</v>
      </c>
      <c r="S18" s="127">
        <f t="shared" si="1"/>
        <v>0.046666666666666634</v>
      </c>
      <c r="T18" s="127">
        <f t="shared" si="1"/>
        <v>0.06333333333333335</v>
      </c>
      <c r="U18" s="127">
        <f t="shared" si="1"/>
        <v>0.046666666666666745</v>
      </c>
      <c r="V18" s="127">
        <f t="shared" si="1"/>
        <v>0.04999999999999993</v>
      </c>
      <c r="W18" s="127">
        <f t="shared" si="1"/>
        <v>0.043333333333333446</v>
      </c>
    </row>
    <row r="19" spans="1:23" ht="12.75">
      <c r="A19" s="130" t="s">
        <v>10</v>
      </c>
      <c r="B19" s="183">
        <v>58.76</v>
      </c>
      <c r="C19" s="179">
        <v>62.39</v>
      </c>
      <c r="D19" s="179">
        <v>56.29333333333333</v>
      </c>
      <c r="E19" s="179">
        <v>63.11</v>
      </c>
      <c r="F19" s="179">
        <v>57.50666666666666</v>
      </c>
      <c r="G19" s="184">
        <v>64.6</v>
      </c>
      <c r="H19" s="181"/>
      <c r="I19" s="182" t="s">
        <v>10</v>
      </c>
      <c r="J19" s="183">
        <v>61.35333333333333</v>
      </c>
      <c r="K19" s="179">
        <v>64.32</v>
      </c>
      <c r="L19" s="179">
        <v>58.19333333333333</v>
      </c>
      <c r="M19" s="179">
        <v>65.22</v>
      </c>
      <c r="N19" s="179">
        <v>59.67666666666667</v>
      </c>
      <c r="O19" s="184">
        <v>65.93333333333334</v>
      </c>
      <c r="P19" s="158"/>
      <c r="Q19" s="128" t="str">
        <f t="shared" si="0"/>
        <v>D/%</v>
      </c>
      <c r="R19" s="127">
        <f t="shared" si="1"/>
        <v>-2.5933333333333337</v>
      </c>
      <c r="S19" s="127">
        <f t="shared" si="1"/>
        <v>-1.9299999999999926</v>
      </c>
      <c r="T19" s="127">
        <f t="shared" si="1"/>
        <v>-1.8999999999999986</v>
      </c>
      <c r="U19" s="127">
        <f t="shared" si="1"/>
        <v>-2.1099999999999994</v>
      </c>
      <c r="V19" s="127">
        <f t="shared" si="1"/>
        <v>-2.170000000000009</v>
      </c>
      <c r="W19" s="127">
        <f t="shared" si="1"/>
        <v>-1.3333333333333428</v>
      </c>
    </row>
    <row r="20" spans="1:23" ht="12.75">
      <c r="A20" s="130" t="s">
        <v>11</v>
      </c>
      <c r="B20" s="183">
        <v>4.681151795669393</v>
      </c>
      <c r="C20" s="179">
        <v>5.205628827923374</v>
      </c>
      <c r="D20" s="179">
        <v>4.177648285772106</v>
      </c>
      <c r="E20" s="179">
        <v>5.457028710162568</v>
      </c>
      <c r="F20" s="179">
        <v>4.396628705981042</v>
      </c>
      <c r="G20" s="184">
        <v>5.570535802567958</v>
      </c>
      <c r="H20" s="181"/>
      <c r="I20" s="182" t="s">
        <v>11</v>
      </c>
      <c r="J20" s="183">
        <v>5.1682553123170685</v>
      </c>
      <c r="K20" s="179">
        <v>5.617220024647703</v>
      </c>
      <c r="L20" s="179">
        <v>4.691464483188221</v>
      </c>
      <c r="M20" s="179">
        <v>5.874359200867161</v>
      </c>
      <c r="N20" s="179">
        <v>4.830969882414821</v>
      </c>
      <c r="O20" s="184">
        <v>5.901922507879819</v>
      </c>
      <c r="P20" s="158"/>
      <c r="Q20" s="128" t="str">
        <f t="shared" si="0"/>
        <v>C/dB</v>
      </c>
      <c r="R20" s="127">
        <f t="shared" si="1"/>
        <v>-0.48710351664767515</v>
      </c>
      <c r="S20" s="127">
        <f t="shared" si="1"/>
        <v>-0.41159119672432887</v>
      </c>
      <c r="T20" s="127">
        <f t="shared" si="1"/>
        <v>-0.5138161974161148</v>
      </c>
      <c r="U20" s="127">
        <f t="shared" si="1"/>
        <v>-0.41733049070459316</v>
      </c>
      <c r="V20" s="127">
        <f t="shared" si="1"/>
        <v>-0.43434117643377856</v>
      </c>
      <c r="W20" s="127">
        <f t="shared" si="1"/>
        <v>-0.33138670531186065</v>
      </c>
    </row>
    <row r="21" spans="1:23" ht="12.75">
      <c r="A21" s="130" t="s">
        <v>12</v>
      </c>
      <c r="B21" s="183">
        <v>57.696666666666665</v>
      </c>
      <c r="C21" s="179">
        <v>52.586666666666666</v>
      </c>
      <c r="D21" s="179">
        <v>61.52</v>
      </c>
      <c r="E21" s="179">
        <v>51.17666666666667</v>
      </c>
      <c r="F21" s="179">
        <v>59.41</v>
      </c>
      <c r="G21" s="184">
        <v>50.28666666666667</v>
      </c>
      <c r="H21" s="181"/>
      <c r="I21" s="182" t="s">
        <v>12</v>
      </c>
      <c r="J21" s="183">
        <v>53.77</v>
      </c>
      <c r="K21" s="179">
        <v>49.37</v>
      </c>
      <c r="L21" s="179">
        <v>57.77333333333333</v>
      </c>
      <c r="M21" s="179">
        <v>47.876666666666665</v>
      </c>
      <c r="N21" s="179">
        <v>55.95666666666667</v>
      </c>
      <c r="O21" s="184">
        <v>47.64</v>
      </c>
      <c r="P21" s="158"/>
      <c r="Q21" s="128" t="str">
        <f t="shared" si="0"/>
        <v>TS/ms</v>
      </c>
      <c r="R21" s="127">
        <f t="shared" si="1"/>
        <v>3.9266666666666623</v>
      </c>
      <c r="S21" s="127">
        <f t="shared" si="1"/>
        <v>3.2166666666666686</v>
      </c>
      <c r="T21" s="127">
        <f t="shared" si="1"/>
        <v>3.7466666666666697</v>
      </c>
      <c r="U21" s="127">
        <f t="shared" si="1"/>
        <v>3.3000000000000043</v>
      </c>
      <c r="V21" s="127">
        <f t="shared" si="1"/>
        <v>3.453333333333326</v>
      </c>
      <c r="W21" s="127">
        <f t="shared" si="1"/>
        <v>2.6466666666666683</v>
      </c>
    </row>
    <row r="22" spans="1:23" ht="12.75">
      <c r="A22" s="130" t="s">
        <v>13</v>
      </c>
      <c r="B22" s="183">
        <v>18.354303993748232</v>
      </c>
      <c r="C22" s="179">
        <v>19.267613650450933</v>
      </c>
      <c r="D22" s="179">
        <v>18.00613491914598</v>
      </c>
      <c r="E22" s="179">
        <v>19.347125474770596</v>
      </c>
      <c r="F22" s="179">
        <v>18.33257087118612</v>
      </c>
      <c r="G22" s="184">
        <v>19.4870060670258</v>
      </c>
      <c r="H22" s="181"/>
      <c r="I22" s="182" t="s">
        <v>13</v>
      </c>
      <c r="J22" s="183">
        <v>18.283374309974217</v>
      </c>
      <c r="K22" s="179">
        <v>19.157084793064495</v>
      </c>
      <c r="L22" s="179">
        <v>17.987200269434226</v>
      </c>
      <c r="M22" s="179">
        <v>19.290122803670172</v>
      </c>
      <c r="N22" s="179">
        <v>18.29048496080353</v>
      </c>
      <c r="O22" s="184">
        <v>19.443774733153774</v>
      </c>
      <c r="P22" s="158"/>
      <c r="Q22" s="128" t="str">
        <f t="shared" si="0"/>
        <v>G/dB</v>
      </c>
      <c r="R22" s="127">
        <f t="shared" si="1"/>
        <v>0.07092968377401476</v>
      </c>
      <c r="S22" s="127">
        <f t="shared" si="1"/>
        <v>0.1105288573864378</v>
      </c>
      <c r="T22" s="127">
        <f t="shared" si="1"/>
        <v>0.018934649711752627</v>
      </c>
      <c r="U22" s="127">
        <f t="shared" si="1"/>
        <v>0.057002671100423896</v>
      </c>
      <c r="V22" s="127">
        <f t="shared" si="1"/>
        <v>0.04208591038259257</v>
      </c>
      <c r="W22" s="127">
        <f t="shared" si="1"/>
        <v>0.0432313338720256</v>
      </c>
    </row>
    <row r="23" spans="1:23" ht="12.75">
      <c r="A23" s="130" t="s">
        <v>14</v>
      </c>
      <c r="B23" s="183">
        <v>23.27</v>
      </c>
      <c r="C23" s="179">
        <v>21.073333333333334</v>
      </c>
      <c r="D23" s="179">
        <v>24.763333333333335</v>
      </c>
      <c r="E23" s="179">
        <v>18.523333333333333</v>
      </c>
      <c r="F23" s="179">
        <v>27.006666666666664</v>
      </c>
      <c r="G23" s="184">
        <v>22.16</v>
      </c>
      <c r="H23" s="181"/>
      <c r="I23" s="182" t="s">
        <v>14</v>
      </c>
      <c r="J23" s="183">
        <v>24.1</v>
      </c>
      <c r="K23" s="179">
        <v>20.94</v>
      </c>
      <c r="L23" s="179">
        <v>25.72333333333333</v>
      </c>
      <c r="M23" s="179">
        <v>18.826666666666664</v>
      </c>
      <c r="N23" s="179">
        <v>28.116666666666664</v>
      </c>
      <c r="O23" s="184">
        <v>22.773333333333337</v>
      </c>
      <c r="Q23" s="128" t="str">
        <f t="shared" si="0"/>
        <v>LF/%</v>
      </c>
      <c r="R23" s="127">
        <f t="shared" si="1"/>
        <v>-0.8300000000000018</v>
      </c>
      <c r="S23" s="127">
        <f t="shared" si="1"/>
        <v>0.13333333333333286</v>
      </c>
      <c r="T23" s="127">
        <f t="shared" si="1"/>
        <v>-0.9599999999999937</v>
      </c>
      <c r="U23" s="127">
        <f t="shared" si="1"/>
        <v>-0.303333333333331</v>
      </c>
      <c r="V23" s="127">
        <f t="shared" si="1"/>
        <v>-1.1099999999999994</v>
      </c>
      <c r="W23" s="127">
        <f t="shared" si="1"/>
        <v>-0.6133333333333368</v>
      </c>
    </row>
    <row r="24" spans="1:23" ht="12.75">
      <c r="A24" s="130" t="s">
        <v>15</v>
      </c>
      <c r="B24" s="183">
        <v>35.946666666666665</v>
      </c>
      <c r="C24" s="179">
        <v>32.01</v>
      </c>
      <c r="D24" s="179">
        <v>37.106666666666676</v>
      </c>
      <c r="E24" s="179">
        <v>31.15</v>
      </c>
      <c r="F24" s="179">
        <v>38.99</v>
      </c>
      <c r="G24" s="184">
        <v>33.6</v>
      </c>
      <c r="H24" s="181"/>
      <c r="I24" s="182" t="s">
        <v>15</v>
      </c>
      <c r="J24" s="183">
        <v>36.81666666666667</v>
      </c>
      <c r="K24" s="179">
        <v>31.986666666666668</v>
      </c>
      <c r="L24" s="179">
        <v>38.18333333333333</v>
      </c>
      <c r="M24" s="179">
        <v>31.463333333333335</v>
      </c>
      <c r="N24" s="179">
        <v>40.15</v>
      </c>
      <c r="O24" s="184">
        <v>34.24666666666667</v>
      </c>
      <c r="Q24" s="128" t="str">
        <f t="shared" si="0"/>
        <v>LFC/%</v>
      </c>
      <c r="R24" s="127">
        <f t="shared" si="1"/>
        <v>-0.8700000000000045</v>
      </c>
      <c r="S24" s="127">
        <f t="shared" si="1"/>
        <v>0.023333333333329875</v>
      </c>
      <c r="T24" s="127">
        <f t="shared" si="1"/>
        <v>-1.0766666666666538</v>
      </c>
      <c r="U24" s="127">
        <f t="shared" si="1"/>
        <v>-0.31333333333333613</v>
      </c>
      <c r="V24" s="127">
        <f t="shared" si="1"/>
        <v>-1.1599999999999966</v>
      </c>
      <c r="W24" s="127">
        <f t="shared" si="1"/>
        <v>-0.6466666666666683</v>
      </c>
    </row>
    <row r="25" spans="1:23" ht="12.75">
      <c r="A25" s="134" t="s">
        <v>16</v>
      </c>
      <c r="B25" s="185"/>
      <c r="C25" s="186"/>
      <c r="D25" s="186"/>
      <c r="E25" s="186"/>
      <c r="F25" s="186"/>
      <c r="G25" s="187"/>
      <c r="H25" s="181"/>
      <c r="I25" s="188" t="s">
        <v>16</v>
      </c>
      <c r="J25" s="185"/>
      <c r="K25" s="186"/>
      <c r="L25" s="186"/>
      <c r="M25" s="186"/>
      <c r="N25" s="186"/>
      <c r="O25" s="187"/>
      <c r="Q25" s="128" t="str">
        <f t="shared" si="0"/>
        <v>IACC</v>
      </c>
      <c r="R25" s="127">
        <f t="shared" si="1"/>
        <v>0</v>
      </c>
      <c r="S25" s="127">
        <f t="shared" si="1"/>
        <v>0</v>
      </c>
      <c r="T25" s="127">
        <f t="shared" si="1"/>
        <v>0</v>
      </c>
      <c r="U25" s="127">
        <f t="shared" si="1"/>
        <v>0</v>
      </c>
      <c r="V25" s="127">
        <f t="shared" si="1"/>
        <v>0</v>
      </c>
      <c r="W25" s="127">
        <f t="shared" si="1"/>
        <v>0</v>
      </c>
    </row>
    <row r="26" spans="5:15" ht="12.75">
      <c r="E26" s="171"/>
      <c r="F26" s="171"/>
      <c r="G26" s="171"/>
      <c r="H26" s="171"/>
      <c r="M26" s="171"/>
      <c r="N26" s="171"/>
      <c r="O26" s="171"/>
    </row>
    <row r="27" spans="1:18" ht="12.75">
      <c r="A27" s="155" t="s">
        <v>17</v>
      </c>
      <c r="B27" s="170" t="s">
        <v>1</v>
      </c>
      <c r="E27" s="171"/>
      <c r="F27" s="171"/>
      <c r="G27" s="171"/>
      <c r="H27" s="171"/>
      <c r="I27" s="172" t="s">
        <v>17</v>
      </c>
      <c r="J27" s="170" t="s">
        <v>1</v>
      </c>
      <c r="M27" s="171"/>
      <c r="N27" s="171"/>
      <c r="O27" s="171"/>
      <c r="Q27" s="128" t="str">
        <f>+A27</f>
        <v>250 Hz</v>
      </c>
      <c r="R27" s="128" t="str">
        <f>+B27</f>
        <v>octave</v>
      </c>
    </row>
    <row r="28" spans="1:23" ht="12.75">
      <c r="A28" s="142"/>
      <c r="B28" s="173" t="s">
        <v>2</v>
      </c>
      <c r="C28" s="173" t="s">
        <v>3</v>
      </c>
      <c r="D28" s="174" t="s">
        <v>4</v>
      </c>
      <c r="E28" s="174" t="s">
        <v>5</v>
      </c>
      <c r="F28" s="173" t="s">
        <v>6</v>
      </c>
      <c r="G28" s="174" t="s">
        <v>7</v>
      </c>
      <c r="H28" s="175"/>
      <c r="I28" s="176"/>
      <c r="J28" s="173" t="s">
        <v>2</v>
      </c>
      <c r="K28" s="173" t="s">
        <v>3</v>
      </c>
      <c r="L28" s="174" t="s">
        <v>4</v>
      </c>
      <c r="M28" s="174" t="s">
        <v>5</v>
      </c>
      <c r="N28" s="173" t="s">
        <v>6</v>
      </c>
      <c r="O28" s="174" t="s">
        <v>7</v>
      </c>
      <c r="Q28" s="128">
        <f>+A28</f>
        <v>0</v>
      </c>
      <c r="R28" s="128" t="str">
        <f>+B28</f>
        <v>S1R1</v>
      </c>
      <c r="S28" s="128" t="str">
        <f>+C28</f>
        <v>S1R2</v>
      </c>
      <c r="T28" s="128" t="str">
        <f>+D28</f>
        <v>S1R3</v>
      </c>
      <c r="U28" s="128" t="str">
        <f>+E28</f>
        <v>S2R1</v>
      </c>
      <c r="V28" s="128" t="str">
        <f>+F28</f>
        <v>S2R2</v>
      </c>
      <c r="W28" s="128" t="str">
        <f>+G28</f>
        <v>S2R3</v>
      </c>
    </row>
    <row r="29" spans="1:23" ht="12.75">
      <c r="A29" s="130" t="s">
        <v>8</v>
      </c>
      <c r="B29" s="177">
        <v>1.0633333333333335</v>
      </c>
      <c r="C29" s="178">
        <v>1.0633333333333335</v>
      </c>
      <c r="D29" s="178">
        <v>1.0666666666666667</v>
      </c>
      <c r="E29" s="179">
        <v>1.06</v>
      </c>
      <c r="F29" s="178">
        <v>1.0666666666666667</v>
      </c>
      <c r="G29" s="180">
        <v>1.06</v>
      </c>
      <c r="H29" s="181"/>
      <c r="I29" s="182" t="s">
        <v>8</v>
      </c>
      <c r="J29" s="177">
        <v>0.8733333333333334</v>
      </c>
      <c r="K29" s="178">
        <v>0.87</v>
      </c>
      <c r="L29" s="178">
        <v>0.8733333333333334</v>
      </c>
      <c r="M29" s="179">
        <v>0.87</v>
      </c>
      <c r="N29" s="178">
        <v>0.8733333333333334</v>
      </c>
      <c r="O29" s="180">
        <v>0.87</v>
      </c>
      <c r="Q29" s="128" t="str">
        <f aca="true" t="shared" si="2" ref="Q29:Q37">+A29</f>
        <v>T30/s</v>
      </c>
      <c r="R29" s="127">
        <f aca="true" t="shared" si="3" ref="R29:W37">+B29-J29</f>
        <v>0.19000000000000006</v>
      </c>
      <c r="S29" s="127">
        <f t="shared" si="3"/>
        <v>0.19333333333333347</v>
      </c>
      <c r="T29" s="127">
        <f t="shared" si="3"/>
        <v>0.19333333333333325</v>
      </c>
      <c r="U29" s="127">
        <f t="shared" si="3"/>
        <v>0.19000000000000006</v>
      </c>
      <c r="V29" s="127">
        <f t="shared" si="3"/>
        <v>0.19333333333333325</v>
      </c>
      <c r="W29" s="127">
        <f t="shared" si="3"/>
        <v>0.19000000000000006</v>
      </c>
    </row>
    <row r="30" spans="1:23" ht="12.75">
      <c r="A30" s="130" t="s">
        <v>9</v>
      </c>
      <c r="B30" s="183">
        <v>1.06</v>
      </c>
      <c r="C30" s="179">
        <v>1.0366666666666668</v>
      </c>
      <c r="D30" s="179">
        <v>1.07</v>
      </c>
      <c r="E30" s="179">
        <v>1.02</v>
      </c>
      <c r="F30" s="179">
        <v>1.06</v>
      </c>
      <c r="G30" s="184">
        <v>1.02</v>
      </c>
      <c r="H30" s="181"/>
      <c r="I30" s="182" t="s">
        <v>9</v>
      </c>
      <c r="J30" s="183">
        <v>0.8633333333333333</v>
      </c>
      <c r="K30" s="179">
        <v>0.8533333333333334</v>
      </c>
      <c r="L30" s="179">
        <v>0.8733333333333334</v>
      </c>
      <c r="M30" s="179">
        <v>0.8433333333333333</v>
      </c>
      <c r="N30" s="179">
        <v>0.8766666666666666</v>
      </c>
      <c r="O30" s="184">
        <v>0.8366666666666666</v>
      </c>
      <c r="Q30" s="128" t="str">
        <f t="shared" si="2"/>
        <v>EDT/s</v>
      </c>
      <c r="R30" s="127">
        <f t="shared" si="3"/>
        <v>0.19666666666666677</v>
      </c>
      <c r="S30" s="127">
        <f t="shared" si="3"/>
        <v>0.18333333333333346</v>
      </c>
      <c r="T30" s="127">
        <f t="shared" si="3"/>
        <v>0.19666666666666666</v>
      </c>
      <c r="U30" s="127">
        <f t="shared" si="3"/>
        <v>0.17666666666666675</v>
      </c>
      <c r="V30" s="127">
        <f t="shared" si="3"/>
        <v>0.18333333333333346</v>
      </c>
      <c r="W30" s="127">
        <f t="shared" si="3"/>
        <v>0.18333333333333346</v>
      </c>
    </row>
    <row r="31" spans="1:23" ht="12.75">
      <c r="A31" s="130" t="s">
        <v>10</v>
      </c>
      <c r="B31" s="183">
        <v>51.56333333333333</v>
      </c>
      <c r="C31" s="179">
        <v>55.833333333333336</v>
      </c>
      <c r="D31" s="179">
        <v>48.87</v>
      </c>
      <c r="E31" s="179">
        <v>56.376666666666665</v>
      </c>
      <c r="F31" s="179">
        <v>50.35666666666666</v>
      </c>
      <c r="G31" s="184">
        <v>57.626666666666665</v>
      </c>
      <c r="H31" s="181"/>
      <c r="I31" s="182" t="s">
        <v>10</v>
      </c>
      <c r="J31" s="183">
        <v>59.126666666666665</v>
      </c>
      <c r="K31" s="179">
        <v>62.696666666666665</v>
      </c>
      <c r="L31" s="179">
        <v>55.8</v>
      </c>
      <c r="M31" s="179">
        <v>63.153333333333336</v>
      </c>
      <c r="N31" s="179">
        <v>57.27333333333333</v>
      </c>
      <c r="O31" s="184">
        <v>63.653333333333336</v>
      </c>
      <c r="Q31" s="128" t="str">
        <f t="shared" si="2"/>
        <v>D/%</v>
      </c>
      <c r="R31" s="127">
        <f t="shared" si="3"/>
        <v>-7.563333333333333</v>
      </c>
      <c r="S31" s="127">
        <f t="shared" si="3"/>
        <v>-6.86333333333333</v>
      </c>
      <c r="T31" s="127">
        <f t="shared" si="3"/>
        <v>-6.93</v>
      </c>
      <c r="U31" s="127">
        <f t="shared" si="3"/>
        <v>-6.776666666666671</v>
      </c>
      <c r="V31" s="127">
        <f t="shared" si="3"/>
        <v>-6.916666666666671</v>
      </c>
      <c r="W31" s="127">
        <f t="shared" si="3"/>
        <v>-6.026666666666671</v>
      </c>
    </row>
    <row r="32" spans="1:23" ht="12.75">
      <c r="A32" s="130" t="s">
        <v>11</v>
      </c>
      <c r="B32" s="183">
        <v>3.16448810681891</v>
      </c>
      <c r="C32" s="179">
        <v>3.7489717240174114</v>
      </c>
      <c r="D32" s="179">
        <v>2.676680640221958</v>
      </c>
      <c r="E32" s="179">
        <v>3.983025588584109</v>
      </c>
      <c r="F32" s="179">
        <v>2.919839663429744</v>
      </c>
      <c r="G32" s="184">
        <v>4.02448810681891</v>
      </c>
      <c r="H32" s="181"/>
      <c r="I32" s="182" t="s">
        <v>11</v>
      </c>
      <c r="J32" s="183">
        <v>4.6945860369858705</v>
      </c>
      <c r="K32" s="179">
        <v>5.230585422516021</v>
      </c>
      <c r="L32" s="179">
        <v>4.184461293907632</v>
      </c>
      <c r="M32" s="179">
        <v>5.36743953419101</v>
      </c>
      <c r="N32" s="179">
        <v>4.314578492382743</v>
      </c>
      <c r="O32" s="184">
        <v>5.3882137330809865</v>
      </c>
      <c r="Q32" s="128" t="str">
        <f t="shared" si="2"/>
        <v>C/dB</v>
      </c>
      <c r="R32" s="127">
        <f t="shared" si="3"/>
        <v>-1.5300979301669604</v>
      </c>
      <c r="S32" s="127">
        <f t="shared" si="3"/>
        <v>-1.4816136984986095</v>
      </c>
      <c r="T32" s="127">
        <f t="shared" si="3"/>
        <v>-1.5077806536856744</v>
      </c>
      <c r="U32" s="127">
        <f t="shared" si="3"/>
        <v>-1.3844139456069007</v>
      </c>
      <c r="V32" s="127">
        <f t="shared" si="3"/>
        <v>-1.3947388289529985</v>
      </c>
      <c r="W32" s="127">
        <f t="shared" si="3"/>
        <v>-1.3637256262620765</v>
      </c>
    </row>
    <row r="33" spans="1:23" ht="12.75">
      <c r="A33" s="130" t="s">
        <v>12</v>
      </c>
      <c r="B33" s="183">
        <v>71.39333333333333</v>
      </c>
      <c r="C33" s="179">
        <v>65.11666666666667</v>
      </c>
      <c r="D33" s="179">
        <v>75.51</v>
      </c>
      <c r="E33" s="179">
        <v>63.57</v>
      </c>
      <c r="F33" s="179">
        <v>73.04666666666667</v>
      </c>
      <c r="G33" s="184">
        <v>62.973333333333336</v>
      </c>
      <c r="H33" s="181"/>
      <c r="I33" s="182" t="s">
        <v>12</v>
      </c>
      <c r="J33" s="183">
        <v>57.18666666666667</v>
      </c>
      <c r="K33" s="179">
        <v>52.196666666666665</v>
      </c>
      <c r="L33" s="179">
        <v>61.50666666666667</v>
      </c>
      <c r="M33" s="179">
        <v>51.27</v>
      </c>
      <c r="N33" s="179">
        <v>59.76666666666667</v>
      </c>
      <c r="O33" s="184">
        <v>51.32666666666666</v>
      </c>
      <c r="Q33" s="128" t="str">
        <f t="shared" si="2"/>
        <v>TS/ms</v>
      </c>
      <c r="R33" s="127">
        <f t="shared" si="3"/>
        <v>14.206666666666663</v>
      </c>
      <c r="S33" s="127">
        <f t="shared" si="3"/>
        <v>12.920000000000009</v>
      </c>
      <c r="T33" s="127">
        <f t="shared" si="3"/>
        <v>14.003333333333337</v>
      </c>
      <c r="U33" s="127">
        <f t="shared" si="3"/>
        <v>12.299999999999997</v>
      </c>
      <c r="V33" s="127">
        <f t="shared" si="3"/>
        <v>13.279999999999994</v>
      </c>
      <c r="W33" s="127">
        <f t="shared" si="3"/>
        <v>11.646666666666675</v>
      </c>
    </row>
    <row r="34" spans="1:23" ht="12.75">
      <c r="A34" s="130" t="s">
        <v>13</v>
      </c>
      <c r="B34" s="183">
        <v>19.14328456832455</v>
      </c>
      <c r="C34" s="179">
        <v>20.059957607004755</v>
      </c>
      <c r="D34" s="179">
        <v>18.937619558535527</v>
      </c>
      <c r="E34" s="179">
        <v>20.032316013635807</v>
      </c>
      <c r="F34" s="179">
        <v>19.2207489536932</v>
      </c>
      <c r="G34" s="184">
        <v>20.199105476349388</v>
      </c>
      <c r="H34" s="181"/>
      <c r="I34" s="182" t="s">
        <v>13</v>
      </c>
      <c r="J34" s="183">
        <v>18.423443174854384</v>
      </c>
      <c r="K34" s="179">
        <v>19.427220024647703</v>
      </c>
      <c r="L34" s="179">
        <v>18.300832854836486</v>
      </c>
      <c r="M34" s="179">
        <v>19.39679212232756</v>
      </c>
      <c r="N34" s="179">
        <v>18.607204504220082</v>
      </c>
      <c r="O34" s="184">
        <v>19.720466589243333</v>
      </c>
      <c r="Q34" s="128" t="str">
        <f t="shared" si="2"/>
        <v>G/dB</v>
      </c>
      <c r="R34" s="127">
        <f t="shared" si="3"/>
        <v>0.7198413934701655</v>
      </c>
      <c r="S34" s="127">
        <f t="shared" si="3"/>
        <v>0.632737582357052</v>
      </c>
      <c r="T34" s="127">
        <f t="shared" si="3"/>
        <v>0.6367867036990411</v>
      </c>
      <c r="U34" s="127">
        <f t="shared" si="3"/>
        <v>0.6355238913082459</v>
      </c>
      <c r="V34" s="127">
        <f t="shared" si="3"/>
        <v>0.6135444494731175</v>
      </c>
      <c r="W34" s="127">
        <f t="shared" si="3"/>
        <v>0.4786388871060545</v>
      </c>
    </row>
    <row r="35" spans="1:23" ht="12.75">
      <c r="A35" s="130" t="s">
        <v>14</v>
      </c>
      <c r="B35" s="183">
        <v>23.28</v>
      </c>
      <c r="C35" s="179">
        <v>21.83</v>
      </c>
      <c r="D35" s="179">
        <v>24.74666666666667</v>
      </c>
      <c r="E35" s="179">
        <v>18.836666666666666</v>
      </c>
      <c r="F35" s="179">
        <v>27.136666666666667</v>
      </c>
      <c r="G35" s="184">
        <v>22.343333333333334</v>
      </c>
      <c r="H35" s="181"/>
      <c r="I35" s="182" t="s">
        <v>14</v>
      </c>
      <c r="J35" s="183">
        <v>23.813333333333333</v>
      </c>
      <c r="K35" s="179">
        <v>21.423333333333336</v>
      </c>
      <c r="L35" s="179">
        <v>25.6</v>
      </c>
      <c r="M35" s="179">
        <v>18.566666666666666</v>
      </c>
      <c r="N35" s="179">
        <v>28.14</v>
      </c>
      <c r="O35" s="184">
        <v>22.53333333333333</v>
      </c>
      <c r="Q35" s="128" t="str">
        <f t="shared" si="2"/>
        <v>LF/%</v>
      </c>
      <c r="R35" s="127">
        <f t="shared" si="3"/>
        <v>-0.5333333333333314</v>
      </c>
      <c r="S35" s="127">
        <f t="shared" si="3"/>
        <v>0.40666666666666273</v>
      </c>
      <c r="T35" s="127">
        <f t="shared" si="3"/>
        <v>-0.8533333333333317</v>
      </c>
      <c r="U35" s="127">
        <f t="shared" si="3"/>
        <v>0.2699999999999996</v>
      </c>
      <c r="V35" s="127">
        <f t="shared" si="3"/>
        <v>-1.0033333333333339</v>
      </c>
      <c r="W35" s="127">
        <f t="shared" si="3"/>
        <v>-0.18999999999999773</v>
      </c>
    </row>
    <row r="36" spans="1:23" ht="12.75">
      <c r="A36" s="130" t="s">
        <v>15</v>
      </c>
      <c r="B36" s="183">
        <v>36.343333333333334</v>
      </c>
      <c r="C36" s="179">
        <v>33.22</v>
      </c>
      <c r="D36" s="179">
        <v>37.54</v>
      </c>
      <c r="E36" s="179">
        <v>31.79</v>
      </c>
      <c r="F36" s="179">
        <v>39.64</v>
      </c>
      <c r="G36" s="184">
        <v>34.24333333333333</v>
      </c>
      <c r="H36" s="181"/>
      <c r="I36" s="182" t="s">
        <v>15</v>
      </c>
      <c r="J36" s="183">
        <v>36.77</v>
      </c>
      <c r="K36" s="179">
        <v>32.59</v>
      </c>
      <c r="L36" s="179">
        <v>38.37</v>
      </c>
      <c r="M36" s="179">
        <v>31.063333333333333</v>
      </c>
      <c r="N36" s="179">
        <v>40.56333333333333</v>
      </c>
      <c r="O36" s="184">
        <v>34.29666666666667</v>
      </c>
      <c r="Q36" s="128" t="str">
        <f t="shared" si="2"/>
        <v>LFC/%</v>
      </c>
      <c r="R36" s="127">
        <f t="shared" si="3"/>
        <v>-0.4266666666666694</v>
      </c>
      <c r="S36" s="127">
        <f t="shared" si="3"/>
        <v>0.6299999999999955</v>
      </c>
      <c r="T36" s="127">
        <f t="shared" si="3"/>
        <v>-0.8299999999999983</v>
      </c>
      <c r="U36" s="127">
        <f t="shared" si="3"/>
        <v>0.7266666666666666</v>
      </c>
      <c r="V36" s="127">
        <f t="shared" si="3"/>
        <v>-0.923333333333332</v>
      </c>
      <c r="W36" s="127">
        <f t="shared" si="3"/>
        <v>-0.053333333333334565</v>
      </c>
    </row>
    <row r="37" spans="1:23" ht="12.75">
      <c r="A37" s="134" t="s">
        <v>16</v>
      </c>
      <c r="B37" s="185"/>
      <c r="C37" s="186"/>
      <c r="D37" s="186"/>
      <c r="E37" s="186"/>
      <c r="F37" s="186"/>
      <c r="G37" s="187"/>
      <c r="H37" s="181"/>
      <c r="I37" s="188" t="s">
        <v>16</v>
      </c>
      <c r="J37" s="185"/>
      <c r="K37" s="186"/>
      <c r="L37" s="186"/>
      <c r="M37" s="186"/>
      <c r="N37" s="186"/>
      <c r="O37" s="187"/>
      <c r="Q37" s="128" t="str">
        <f t="shared" si="2"/>
        <v>IACC</v>
      </c>
      <c r="R37" s="127">
        <f t="shared" si="3"/>
        <v>0</v>
      </c>
      <c r="S37" s="127">
        <f t="shared" si="3"/>
        <v>0</v>
      </c>
      <c r="T37" s="127">
        <f t="shared" si="3"/>
        <v>0</v>
      </c>
      <c r="U37" s="127">
        <f t="shared" si="3"/>
        <v>0</v>
      </c>
      <c r="V37" s="127">
        <f t="shared" si="3"/>
        <v>0</v>
      </c>
      <c r="W37" s="127">
        <f t="shared" si="3"/>
        <v>0</v>
      </c>
    </row>
    <row r="38" spans="5:15" ht="12.75">
      <c r="E38" s="171"/>
      <c r="F38" s="171"/>
      <c r="G38" s="171"/>
      <c r="H38" s="171"/>
      <c r="M38" s="171"/>
      <c r="N38" s="171"/>
      <c r="O38" s="171"/>
    </row>
    <row r="39" spans="1:18" ht="12.75">
      <c r="A39" s="155" t="s">
        <v>18</v>
      </c>
      <c r="B39" s="170" t="s">
        <v>1</v>
      </c>
      <c r="E39" s="171"/>
      <c r="F39" s="171"/>
      <c r="G39" s="171"/>
      <c r="H39" s="171"/>
      <c r="I39" s="172" t="s">
        <v>18</v>
      </c>
      <c r="J39" s="170" t="s">
        <v>1</v>
      </c>
      <c r="M39" s="171"/>
      <c r="N39" s="171"/>
      <c r="O39" s="171"/>
      <c r="Q39" s="128" t="str">
        <f>+A39</f>
        <v>500 Hz</v>
      </c>
      <c r="R39" s="128" t="str">
        <f>+B39</f>
        <v>octave</v>
      </c>
    </row>
    <row r="40" spans="1:23" ht="12.75">
      <c r="A40" s="142"/>
      <c r="B40" s="173" t="s">
        <v>2</v>
      </c>
      <c r="C40" s="173" t="s">
        <v>3</v>
      </c>
      <c r="D40" s="174" t="s">
        <v>4</v>
      </c>
      <c r="E40" s="174" t="s">
        <v>5</v>
      </c>
      <c r="F40" s="173" t="s">
        <v>6</v>
      </c>
      <c r="G40" s="174" t="s">
        <v>7</v>
      </c>
      <c r="H40" s="175"/>
      <c r="I40" s="176"/>
      <c r="J40" s="173" t="s">
        <v>2</v>
      </c>
      <c r="K40" s="173" t="s">
        <v>3</v>
      </c>
      <c r="L40" s="174" t="s">
        <v>4</v>
      </c>
      <c r="M40" s="174" t="s">
        <v>5</v>
      </c>
      <c r="N40" s="173" t="s">
        <v>6</v>
      </c>
      <c r="O40" s="174" t="s">
        <v>7</v>
      </c>
      <c r="Q40" s="128">
        <f>+A40</f>
        <v>0</v>
      </c>
      <c r="R40" s="128" t="str">
        <f>+B40</f>
        <v>S1R1</v>
      </c>
      <c r="S40" s="128" t="str">
        <f>+C40</f>
        <v>S1R2</v>
      </c>
      <c r="T40" s="128" t="str">
        <f>+D40</f>
        <v>S1R3</v>
      </c>
      <c r="U40" s="128" t="str">
        <f>+E40</f>
        <v>S2R1</v>
      </c>
      <c r="V40" s="128" t="str">
        <f>+F40</f>
        <v>S2R2</v>
      </c>
      <c r="W40" s="128" t="str">
        <f>+G40</f>
        <v>S2R3</v>
      </c>
    </row>
    <row r="41" spans="1:23" ht="12.75">
      <c r="A41" s="130" t="s">
        <v>8</v>
      </c>
      <c r="B41" s="177">
        <v>1.0933333333333335</v>
      </c>
      <c r="C41" s="178">
        <v>1.09</v>
      </c>
      <c r="D41" s="178">
        <v>1.0933333333333335</v>
      </c>
      <c r="E41" s="179">
        <v>1.0833333333333335</v>
      </c>
      <c r="F41" s="178">
        <v>1.09</v>
      </c>
      <c r="G41" s="180">
        <v>1.0866666666666667</v>
      </c>
      <c r="H41" s="181"/>
      <c r="I41" s="182" t="s">
        <v>8</v>
      </c>
      <c r="J41" s="177">
        <v>0.8666666666666667</v>
      </c>
      <c r="K41" s="178">
        <v>0.8666666666666667</v>
      </c>
      <c r="L41" s="178">
        <v>0.8633333333333333</v>
      </c>
      <c r="M41" s="179">
        <v>0.86</v>
      </c>
      <c r="N41" s="178">
        <v>0.8633333333333333</v>
      </c>
      <c r="O41" s="180">
        <v>0.8666666666666667</v>
      </c>
      <c r="Q41" s="128" t="str">
        <f aca="true" t="shared" si="4" ref="Q41:Q49">+A41</f>
        <v>T30/s</v>
      </c>
      <c r="R41" s="127">
        <f aca="true" t="shared" si="5" ref="R41:W49">+B41-J41</f>
        <v>0.2266666666666668</v>
      </c>
      <c r="S41" s="127">
        <f t="shared" si="5"/>
        <v>0.22333333333333338</v>
      </c>
      <c r="T41" s="127">
        <f t="shared" si="5"/>
        <v>0.2300000000000002</v>
      </c>
      <c r="U41" s="127">
        <f t="shared" si="5"/>
        <v>0.2233333333333335</v>
      </c>
      <c r="V41" s="127">
        <f t="shared" si="5"/>
        <v>0.2266666666666668</v>
      </c>
      <c r="W41" s="127">
        <f t="shared" si="5"/>
        <v>0.21999999999999997</v>
      </c>
    </row>
    <row r="42" spans="1:23" ht="12.75">
      <c r="A42" s="130" t="s">
        <v>9</v>
      </c>
      <c r="B42" s="183">
        <v>1.0866666666666667</v>
      </c>
      <c r="C42" s="179">
        <v>1.0666666666666667</v>
      </c>
      <c r="D42" s="179">
        <v>1.1</v>
      </c>
      <c r="E42" s="179">
        <v>1.0466666666666666</v>
      </c>
      <c r="F42" s="179">
        <v>1.0866666666666667</v>
      </c>
      <c r="G42" s="184">
        <v>1.0466666666666666</v>
      </c>
      <c r="H42" s="181"/>
      <c r="I42" s="182" t="s">
        <v>9</v>
      </c>
      <c r="J42" s="183">
        <v>0.8566666666666666</v>
      </c>
      <c r="K42" s="179">
        <v>0.8466666666666667</v>
      </c>
      <c r="L42" s="179">
        <v>0.8666666666666667</v>
      </c>
      <c r="M42" s="179">
        <v>0.8366666666666666</v>
      </c>
      <c r="N42" s="179">
        <v>0.8666666666666667</v>
      </c>
      <c r="O42" s="184">
        <v>0.83</v>
      </c>
      <c r="Q42" s="128" t="str">
        <f t="shared" si="4"/>
        <v>EDT/s</v>
      </c>
      <c r="R42" s="127">
        <f t="shared" si="5"/>
        <v>0.2300000000000001</v>
      </c>
      <c r="S42" s="127">
        <f t="shared" si="5"/>
        <v>0.21999999999999997</v>
      </c>
      <c r="T42" s="127">
        <f t="shared" si="5"/>
        <v>0.2333333333333334</v>
      </c>
      <c r="U42" s="127">
        <f t="shared" si="5"/>
        <v>0.21000000000000008</v>
      </c>
      <c r="V42" s="127">
        <f t="shared" si="5"/>
        <v>0.21999999999999997</v>
      </c>
      <c r="W42" s="127">
        <f t="shared" si="5"/>
        <v>0.21666666666666667</v>
      </c>
    </row>
    <row r="43" spans="1:23" ht="12.75">
      <c r="A43" s="130" t="s">
        <v>10</v>
      </c>
      <c r="B43" s="183">
        <v>50.69</v>
      </c>
      <c r="C43" s="179">
        <v>54.913333333333334</v>
      </c>
      <c r="D43" s="179">
        <v>48.05</v>
      </c>
      <c r="E43" s="179">
        <v>55.75666666666667</v>
      </c>
      <c r="F43" s="179">
        <v>49.333333333333336</v>
      </c>
      <c r="G43" s="184">
        <v>56.906666666666666</v>
      </c>
      <c r="H43" s="181"/>
      <c r="I43" s="182" t="s">
        <v>10</v>
      </c>
      <c r="J43" s="183">
        <v>59.35333333333333</v>
      </c>
      <c r="K43" s="179">
        <v>62.97666666666667</v>
      </c>
      <c r="L43" s="179">
        <v>56.26333333333333</v>
      </c>
      <c r="M43" s="179">
        <v>63.43666666666667</v>
      </c>
      <c r="N43" s="179">
        <v>57.24333333333333</v>
      </c>
      <c r="O43" s="184">
        <v>64.02</v>
      </c>
      <c r="Q43" s="128" t="str">
        <f t="shared" si="4"/>
        <v>D/%</v>
      </c>
      <c r="R43" s="127">
        <f t="shared" si="5"/>
        <v>-8.663333333333334</v>
      </c>
      <c r="S43" s="127">
        <f t="shared" si="5"/>
        <v>-8.063333333333333</v>
      </c>
      <c r="T43" s="127">
        <f t="shared" si="5"/>
        <v>-8.213333333333331</v>
      </c>
      <c r="U43" s="127">
        <f t="shared" si="5"/>
        <v>-7.68</v>
      </c>
      <c r="V43" s="127">
        <f t="shared" si="5"/>
        <v>-7.909999999999997</v>
      </c>
      <c r="W43" s="127">
        <f t="shared" si="5"/>
        <v>-7.11333333333333</v>
      </c>
    </row>
    <row r="44" spans="1:23" ht="12.75">
      <c r="A44" s="130" t="s">
        <v>11</v>
      </c>
      <c r="B44" s="183">
        <v>2.9625898182249975</v>
      </c>
      <c r="C44" s="179">
        <v>3.555143860168714</v>
      </c>
      <c r="D44" s="179">
        <v>2.492327442461807</v>
      </c>
      <c r="E44" s="179">
        <v>3.8088414986511783</v>
      </c>
      <c r="F44" s="179">
        <v>2.733614180217881</v>
      </c>
      <c r="G44" s="184">
        <v>3.8556681867547975</v>
      </c>
      <c r="H44" s="181"/>
      <c r="I44" s="182" t="s">
        <v>11</v>
      </c>
      <c r="J44" s="183">
        <v>4.733648305741874</v>
      </c>
      <c r="K44" s="179">
        <v>5.296588127358737</v>
      </c>
      <c r="L44" s="179">
        <v>4.260699708874024</v>
      </c>
      <c r="M44" s="179">
        <v>5.417178815963208</v>
      </c>
      <c r="N44" s="179">
        <v>4.35983569077316</v>
      </c>
      <c r="O44" s="184">
        <v>5.474895523407445</v>
      </c>
      <c r="Q44" s="128" t="str">
        <f t="shared" si="4"/>
        <v>C/dB</v>
      </c>
      <c r="R44" s="127">
        <f t="shared" si="5"/>
        <v>-1.7710584875168767</v>
      </c>
      <c r="S44" s="127">
        <f t="shared" si="5"/>
        <v>-1.7414442671900225</v>
      </c>
      <c r="T44" s="127">
        <f t="shared" si="5"/>
        <v>-1.768372266412217</v>
      </c>
      <c r="U44" s="127">
        <f t="shared" si="5"/>
        <v>-1.6083373173120297</v>
      </c>
      <c r="V44" s="127">
        <f t="shared" si="5"/>
        <v>-1.626221510555279</v>
      </c>
      <c r="W44" s="127">
        <f t="shared" si="5"/>
        <v>-1.619227336652647</v>
      </c>
    </row>
    <row r="45" spans="1:23" ht="12.75">
      <c r="A45" s="130" t="s">
        <v>12</v>
      </c>
      <c r="B45" s="183">
        <v>73.38</v>
      </c>
      <c r="C45" s="179">
        <v>66.97666666666667</v>
      </c>
      <c r="D45" s="179">
        <v>77.35333333333334</v>
      </c>
      <c r="E45" s="179">
        <v>64.97333333333333</v>
      </c>
      <c r="F45" s="179">
        <v>75.10333333333334</v>
      </c>
      <c r="G45" s="184">
        <v>64.53</v>
      </c>
      <c r="H45" s="181"/>
      <c r="I45" s="182" t="s">
        <v>12</v>
      </c>
      <c r="J45" s="183">
        <v>56.83</v>
      </c>
      <c r="K45" s="179">
        <v>51.69</v>
      </c>
      <c r="L45" s="179">
        <v>60.85</v>
      </c>
      <c r="M45" s="179">
        <v>50.73</v>
      </c>
      <c r="N45" s="179">
        <v>59.49666666666667</v>
      </c>
      <c r="O45" s="184">
        <v>50.873333333333335</v>
      </c>
      <c r="Q45" s="128" t="str">
        <f t="shared" si="4"/>
        <v>TS/ms</v>
      </c>
      <c r="R45" s="127">
        <f t="shared" si="5"/>
        <v>16.549999999999997</v>
      </c>
      <c r="S45" s="127">
        <f t="shared" si="5"/>
        <v>15.286666666666676</v>
      </c>
      <c r="T45" s="127">
        <f t="shared" si="5"/>
        <v>16.503333333333337</v>
      </c>
      <c r="U45" s="127">
        <f t="shared" si="5"/>
        <v>14.243333333333332</v>
      </c>
      <c r="V45" s="127">
        <f t="shared" si="5"/>
        <v>15.60666666666667</v>
      </c>
      <c r="W45" s="127">
        <f t="shared" si="5"/>
        <v>13.656666666666666</v>
      </c>
    </row>
    <row r="46" spans="1:23" ht="12.75">
      <c r="A46" s="130" t="s">
        <v>13</v>
      </c>
      <c r="B46" s="183">
        <v>19.234069472102426</v>
      </c>
      <c r="C46" s="179">
        <v>20.283611986084637</v>
      </c>
      <c r="D46" s="179">
        <v>19.083994074302066</v>
      </c>
      <c r="E46" s="179">
        <v>20.040695507038393</v>
      </c>
      <c r="F46" s="179">
        <v>19.38382671954271</v>
      </c>
      <c r="G46" s="184">
        <v>20.240695507038392</v>
      </c>
      <c r="H46" s="181"/>
      <c r="I46" s="182" t="s">
        <v>13</v>
      </c>
      <c r="J46" s="183">
        <v>18.38435140868502</v>
      </c>
      <c r="K46" s="179">
        <v>19.51029871238149</v>
      </c>
      <c r="L46" s="179">
        <v>18.337464142084922</v>
      </c>
      <c r="M46" s="179">
        <v>19.304382577371005</v>
      </c>
      <c r="N46" s="179">
        <v>18.64383297477929</v>
      </c>
      <c r="O46" s="184">
        <v>19.700825074260838</v>
      </c>
      <c r="Q46" s="128" t="str">
        <f t="shared" si="4"/>
        <v>G/dB</v>
      </c>
      <c r="R46" s="127">
        <f t="shared" si="5"/>
        <v>0.8497180634174057</v>
      </c>
      <c r="S46" s="127">
        <f t="shared" si="5"/>
        <v>0.7733132737031454</v>
      </c>
      <c r="T46" s="127">
        <f t="shared" si="5"/>
        <v>0.7465299322171433</v>
      </c>
      <c r="U46" s="127">
        <f t="shared" si="5"/>
        <v>0.7363129296673883</v>
      </c>
      <c r="V46" s="127">
        <f t="shared" si="5"/>
        <v>0.7399937447634208</v>
      </c>
      <c r="W46" s="127">
        <f t="shared" si="5"/>
        <v>0.5398704327775548</v>
      </c>
    </row>
    <row r="47" spans="1:23" ht="12.75">
      <c r="A47" s="130" t="s">
        <v>14</v>
      </c>
      <c r="B47" s="183">
        <v>23.6</v>
      </c>
      <c r="C47" s="179">
        <v>22.743333333333336</v>
      </c>
      <c r="D47" s="179">
        <v>25.073333333333334</v>
      </c>
      <c r="E47" s="179">
        <v>18.806666666666665</v>
      </c>
      <c r="F47" s="179">
        <v>27.606666666666666</v>
      </c>
      <c r="G47" s="184">
        <v>22.12</v>
      </c>
      <c r="H47" s="181"/>
      <c r="I47" s="182" t="s">
        <v>14</v>
      </c>
      <c r="J47" s="183">
        <v>24.206666666666667</v>
      </c>
      <c r="K47" s="179">
        <v>22.326666666666664</v>
      </c>
      <c r="L47" s="179">
        <v>25.963333333333328</v>
      </c>
      <c r="M47" s="179">
        <v>18.46666666666667</v>
      </c>
      <c r="N47" s="179">
        <v>28.606666666666666</v>
      </c>
      <c r="O47" s="184">
        <v>22.536666666666665</v>
      </c>
      <c r="Q47" s="128" t="str">
        <f t="shared" si="4"/>
        <v>LF/%</v>
      </c>
      <c r="R47" s="127">
        <f t="shared" si="5"/>
        <v>-0.6066666666666656</v>
      </c>
      <c r="S47" s="127">
        <f t="shared" si="5"/>
        <v>0.4166666666666714</v>
      </c>
      <c r="T47" s="127">
        <f t="shared" si="5"/>
        <v>-0.8899999999999935</v>
      </c>
      <c r="U47" s="127">
        <f t="shared" si="5"/>
        <v>0.3399999999999963</v>
      </c>
      <c r="V47" s="127">
        <f t="shared" si="5"/>
        <v>-1</v>
      </c>
      <c r="W47" s="127">
        <f t="shared" si="5"/>
        <v>-0.4166666666666643</v>
      </c>
    </row>
    <row r="48" spans="1:23" ht="12.75">
      <c r="A48" s="130" t="s">
        <v>15</v>
      </c>
      <c r="B48" s="183">
        <v>36.796666666666674</v>
      </c>
      <c r="C48" s="179">
        <v>34.13666666666666</v>
      </c>
      <c r="D48" s="179">
        <v>37.833333333333336</v>
      </c>
      <c r="E48" s="179">
        <v>31.643333333333334</v>
      </c>
      <c r="F48" s="179">
        <v>40.22666666666667</v>
      </c>
      <c r="G48" s="184">
        <v>33.916666666666664</v>
      </c>
      <c r="H48" s="181"/>
      <c r="I48" s="182" t="s">
        <v>15</v>
      </c>
      <c r="J48" s="183">
        <v>37.34</v>
      </c>
      <c r="K48" s="179">
        <v>33.39666666666667</v>
      </c>
      <c r="L48" s="179">
        <v>38.663333333333334</v>
      </c>
      <c r="M48" s="179">
        <v>30.72</v>
      </c>
      <c r="N48" s="179">
        <v>41.093333333333334</v>
      </c>
      <c r="O48" s="184">
        <v>34.18333333333333</v>
      </c>
      <c r="Q48" s="128" t="str">
        <f t="shared" si="4"/>
        <v>LFC/%</v>
      </c>
      <c r="R48" s="127">
        <f t="shared" si="5"/>
        <v>-0.5433333333333294</v>
      </c>
      <c r="S48" s="127">
        <f t="shared" si="5"/>
        <v>0.7399999999999949</v>
      </c>
      <c r="T48" s="127">
        <f t="shared" si="5"/>
        <v>-0.8299999999999983</v>
      </c>
      <c r="U48" s="127">
        <f t="shared" si="5"/>
        <v>0.9233333333333356</v>
      </c>
      <c r="V48" s="127">
        <f t="shared" si="5"/>
        <v>-0.8666666666666671</v>
      </c>
      <c r="W48" s="127">
        <f t="shared" si="5"/>
        <v>-0.2666666666666657</v>
      </c>
    </row>
    <row r="49" spans="1:23" ht="12.75">
      <c r="A49" s="134" t="s">
        <v>16</v>
      </c>
      <c r="B49" s="185"/>
      <c r="C49" s="186"/>
      <c r="D49" s="186"/>
      <c r="E49" s="186"/>
      <c r="F49" s="186"/>
      <c r="G49" s="187"/>
      <c r="H49" s="181"/>
      <c r="I49" s="188" t="s">
        <v>16</v>
      </c>
      <c r="J49" s="185"/>
      <c r="K49" s="186"/>
      <c r="L49" s="186"/>
      <c r="M49" s="186"/>
      <c r="N49" s="186"/>
      <c r="O49" s="187"/>
      <c r="Q49" s="128" t="str">
        <f t="shared" si="4"/>
        <v>IACC</v>
      </c>
      <c r="R49" s="127">
        <f t="shared" si="5"/>
        <v>0</v>
      </c>
      <c r="S49" s="127">
        <f t="shared" si="5"/>
        <v>0</v>
      </c>
      <c r="T49" s="127">
        <f t="shared" si="5"/>
        <v>0</v>
      </c>
      <c r="U49" s="127">
        <f t="shared" si="5"/>
        <v>0</v>
      </c>
      <c r="V49" s="127">
        <f t="shared" si="5"/>
        <v>0</v>
      </c>
      <c r="W49" s="127">
        <f t="shared" si="5"/>
        <v>0</v>
      </c>
    </row>
    <row r="50" spans="5:23" ht="12.75">
      <c r="E50" s="171"/>
      <c r="F50" s="171"/>
      <c r="G50" s="171"/>
      <c r="H50" s="171"/>
      <c r="M50" s="171"/>
      <c r="N50" s="171"/>
      <c r="O50" s="171"/>
      <c r="R50" s="127"/>
      <c r="S50" s="127"/>
      <c r="T50" s="127"/>
      <c r="U50" s="127"/>
      <c r="V50" s="127"/>
      <c r="W50" s="127"/>
    </row>
    <row r="51" spans="1:18" ht="12.75">
      <c r="A51" s="155" t="s">
        <v>19</v>
      </c>
      <c r="B51" s="170" t="s">
        <v>1</v>
      </c>
      <c r="E51" s="171"/>
      <c r="F51" s="171"/>
      <c r="G51" s="171"/>
      <c r="H51" s="171"/>
      <c r="I51" s="172" t="s">
        <v>19</v>
      </c>
      <c r="J51" s="170" t="s">
        <v>1</v>
      </c>
      <c r="M51" s="171"/>
      <c r="N51" s="171"/>
      <c r="O51" s="171"/>
      <c r="Q51" s="128" t="str">
        <f>+A51</f>
        <v>1000 Hz</v>
      </c>
      <c r="R51" s="128" t="str">
        <f>+B51</f>
        <v>octave</v>
      </c>
    </row>
    <row r="52" spans="1:23" ht="12.75">
      <c r="A52" s="142"/>
      <c r="B52" s="173" t="s">
        <v>2</v>
      </c>
      <c r="C52" s="173" t="s">
        <v>3</v>
      </c>
      <c r="D52" s="174" t="s">
        <v>4</v>
      </c>
      <c r="E52" s="174" t="s">
        <v>5</v>
      </c>
      <c r="F52" s="173" t="s">
        <v>6</v>
      </c>
      <c r="G52" s="174" t="s">
        <v>7</v>
      </c>
      <c r="H52" s="175"/>
      <c r="I52" s="176"/>
      <c r="J52" s="173" t="s">
        <v>2</v>
      </c>
      <c r="K52" s="173" t="s">
        <v>3</v>
      </c>
      <c r="L52" s="174" t="s">
        <v>4</v>
      </c>
      <c r="M52" s="174" t="s">
        <v>5</v>
      </c>
      <c r="N52" s="173" t="s">
        <v>6</v>
      </c>
      <c r="O52" s="174" t="s">
        <v>7</v>
      </c>
      <c r="Q52" s="128">
        <f>+A52</f>
        <v>0</v>
      </c>
      <c r="R52" s="128" t="str">
        <f>+B52</f>
        <v>S1R1</v>
      </c>
      <c r="S52" s="128" t="str">
        <f>+C52</f>
        <v>S1R2</v>
      </c>
      <c r="T52" s="128" t="str">
        <f>+D52</f>
        <v>S1R3</v>
      </c>
      <c r="U52" s="128" t="str">
        <f>+E52</f>
        <v>S2R1</v>
      </c>
      <c r="V52" s="128" t="str">
        <f>+F52</f>
        <v>S2R2</v>
      </c>
      <c r="W52" s="128" t="str">
        <f>+G52</f>
        <v>S2R3</v>
      </c>
    </row>
    <row r="53" spans="1:23" ht="12.75">
      <c r="A53" s="130" t="s">
        <v>8</v>
      </c>
      <c r="B53" s="177">
        <v>1.02</v>
      </c>
      <c r="C53" s="178">
        <v>1.0133333333333334</v>
      </c>
      <c r="D53" s="178">
        <v>1.0166666666666666</v>
      </c>
      <c r="E53" s="179">
        <v>1.0066666666666666</v>
      </c>
      <c r="F53" s="178">
        <v>1.0133333333333334</v>
      </c>
      <c r="G53" s="180">
        <v>1.01</v>
      </c>
      <c r="H53" s="181"/>
      <c r="I53" s="182" t="s">
        <v>8</v>
      </c>
      <c r="J53" s="177">
        <v>0.7766666666666667</v>
      </c>
      <c r="K53" s="178">
        <v>0.78</v>
      </c>
      <c r="L53" s="178">
        <v>0.78</v>
      </c>
      <c r="M53" s="179">
        <v>0.7766666666666667</v>
      </c>
      <c r="N53" s="178">
        <v>0.78</v>
      </c>
      <c r="O53" s="180">
        <v>0.78</v>
      </c>
      <c r="Q53" s="128" t="str">
        <f aca="true" t="shared" si="6" ref="Q53:Q61">+A53</f>
        <v>T30/s</v>
      </c>
      <c r="R53" s="127">
        <f aca="true" t="shared" si="7" ref="R53:W61">+B53-J53</f>
        <v>0.2433333333333333</v>
      </c>
      <c r="S53" s="127">
        <f t="shared" si="7"/>
        <v>0.2333333333333334</v>
      </c>
      <c r="T53" s="127">
        <f t="shared" si="7"/>
        <v>0.23666666666666658</v>
      </c>
      <c r="U53" s="127">
        <f t="shared" si="7"/>
        <v>0.22999999999999987</v>
      </c>
      <c r="V53" s="127">
        <f t="shared" si="7"/>
        <v>0.2333333333333334</v>
      </c>
      <c r="W53" s="127">
        <f t="shared" si="7"/>
        <v>0.22999999999999998</v>
      </c>
    </row>
    <row r="54" spans="1:23" ht="12.75">
      <c r="A54" s="130" t="s">
        <v>9</v>
      </c>
      <c r="B54" s="183">
        <v>1.0033333333333332</v>
      </c>
      <c r="C54" s="179">
        <v>0.99</v>
      </c>
      <c r="D54" s="179">
        <v>1.0166666666666666</v>
      </c>
      <c r="E54" s="179">
        <v>0.9666666666666667</v>
      </c>
      <c r="F54" s="179">
        <v>1.0066666666666666</v>
      </c>
      <c r="G54" s="184">
        <v>0.96</v>
      </c>
      <c r="H54" s="181"/>
      <c r="I54" s="182" t="s">
        <v>9</v>
      </c>
      <c r="J54" s="183">
        <v>0.77</v>
      </c>
      <c r="K54" s="179">
        <v>0.7566666666666667</v>
      </c>
      <c r="L54" s="179">
        <v>0.78</v>
      </c>
      <c r="M54" s="179">
        <v>0.7533333333333333</v>
      </c>
      <c r="N54" s="179">
        <v>0.7833333333333333</v>
      </c>
      <c r="O54" s="184">
        <v>0.7433333333333333</v>
      </c>
      <c r="Q54" s="128" t="str">
        <f t="shared" si="6"/>
        <v>EDT/s</v>
      </c>
      <c r="R54" s="127">
        <f t="shared" si="7"/>
        <v>0.23333333333333317</v>
      </c>
      <c r="S54" s="127">
        <f t="shared" si="7"/>
        <v>0.23333333333333328</v>
      </c>
      <c r="T54" s="127">
        <f t="shared" si="7"/>
        <v>0.23666666666666658</v>
      </c>
      <c r="U54" s="127">
        <f t="shared" si="7"/>
        <v>0.21333333333333337</v>
      </c>
      <c r="V54" s="127">
        <f t="shared" si="7"/>
        <v>0.22333333333333327</v>
      </c>
      <c r="W54" s="127">
        <f t="shared" si="7"/>
        <v>0.21666666666666667</v>
      </c>
    </row>
    <row r="55" spans="1:23" ht="12.75">
      <c r="A55" s="130" t="s">
        <v>10</v>
      </c>
      <c r="B55" s="183">
        <v>53.60666666666666</v>
      </c>
      <c r="C55" s="179">
        <v>57.596666666666664</v>
      </c>
      <c r="D55" s="179">
        <v>51.10333333333333</v>
      </c>
      <c r="E55" s="179">
        <v>58.94</v>
      </c>
      <c r="F55" s="179">
        <v>52.21</v>
      </c>
      <c r="G55" s="184">
        <v>59.94333333333333</v>
      </c>
      <c r="H55" s="181"/>
      <c r="I55" s="182" t="s">
        <v>10</v>
      </c>
      <c r="J55" s="183">
        <v>63.18333333333334</v>
      </c>
      <c r="K55" s="179">
        <v>66.66</v>
      </c>
      <c r="L55" s="179">
        <v>60.24333333333334</v>
      </c>
      <c r="M55" s="179">
        <v>67.44666666666666</v>
      </c>
      <c r="N55" s="179">
        <v>61.156666666666666</v>
      </c>
      <c r="O55" s="184">
        <v>67.71666666666667</v>
      </c>
      <c r="Q55" s="128" t="str">
        <f t="shared" si="6"/>
        <v>D/%</v>
      </c>
      <c r="R55" s="127">
        <f t="shared" si="7"/>
        <v>-9.576666666666675</v>
      </c>
      <c r="S55" s="127">
        <f t="shared" si="7"/>
        <v>-9.063333333333333</v>
      </c>
      <c r="T55" s="127">
        <f t="shared" si="7"/>
        <v>-9.140000000000008</v>
      </c>
      <c r="U55" s="127">
        <f t="shared" si="7"/>
        <v>-8.50666666666666</v>
      </c>
      <c r="V55" s="127">
        <f t="shared" si="7"/>
        <v>-8.946666666666665</v>
      </c>
      <c r="W55" s="127">
        <f t="shared" si="7"/>
        <v>-7.7733333333333405</v>
      </c>
    </row>
    <row r="56" spans="1:23" ht="12.75">
      <c r="A56" s="130" t="s">
        <v>11</v>
      </c>
      <c r="B56" s="183">
        <v>3.529066755393222</v>
      </c>
      <c r="C56" s="179">
        <v>4.142109869005525</v>
      </c>
      <c r="D56" s="179">
        <v>3.085818616718984</v>
      </c>
      <c r="E56" s="179">
        <v>4.442094857831043</v>
      </c>
      <c r="F56" s="179">
        <v>3.302094857831043</v>
      </c>
      <c r="G56" s="184">
        <v>4.478864006364391</v>
      </c>
      <c r="H56" s="181"/>
      <c r="I56" s="182" t="s">
        <v>11</v>
      </c>
      <c r="J56" s="183">
        <v>5.584748502248478</v>
      </c>
      <c r="K56" s="179">
        <v>6.187380718710061</v>
      </c>
      <c r="L56" s="179">
        <v>5.116446671904681</v>
      </c>
      <c r="M56" s="179">
        <v>6.313580307169296</v>
      </c>
      <c r="N56" s="179">
        <v>5.216197166043238</v>
      </c>
      <c r="O56" s="184">
        <v>6.346991023827825</v>
      </c>
      <c r="Q56" s="128" t="str">
        <f t="shared" si="6"/>
        <v>C/dB</v>
      </c>
      <c r="R56" s="127">
        <f t="shared" si="7"/>
        <v>-2.0556817468552557</v>
      </c>
      <c r="S56" s="127">
        <f t="shared" si="7"/>
        <v>-2.0452708497045364</v>
      </c>
      <c r="T56" s="127">
        <f t="shared" si="7"/>
        <v>-2.030628055185697</v>
      </c>
      <c r="U56" s="127">
        <f t="shared" si="7"/>
        <v>-1.8714854493382536</v>
      </c>
      <c r="V56" s="127">
        <f t="shared" si="7"/>
        <v>-1.914102308212195</v>
      </c>
      <c r="W56" s="127">
        <f t="shared" si="7"/>
        <v>-1.8681270174634337</v>
      </c>
    </row>
    <row r="57" spans="1:23" ht="13.5" customHeight="1">
      <c r="A57" s="130" t="s">
        <v>12</v>
      </c>
      <c r="B57" s="183">
        <v>67.35</v>
      </c>
      <c r="C57" s="179">
        <v>61.39</v>
      </c>
      <c r="D57" s="179">
        <v>71.03</v>
      </c>
      <c r="E57" s="179">
        <v>58.946666666666665</v>
      </c>
      <c r="F57" s="179">
        <v>69.10333333333334</v>
      </c>
      <c r="G57" s="184">
        <v>58.73333333333333</v>
      </c>
      <c r="H57" s="181"/>
      <c r="I57" s="182" t="s">
        <v>12</v>
      </c>
      <c r="J57" s="183">
        <v>50.7</v>
      </c>
      <c r="K57" s="179">
        <v>45.78333333333333</v>
      </c>
      <c r="L57" s="179">
        <v>54.47666666666667</v>
      </c>
      <c r="M57" s="179">
        <v>44.71333333333333</v>
      </c>
      <c r="N57" s="179">
        <v>53.166666666666664</v>
      </c>
      <c r="O57" s="184">
        <v>45.056666666666665</v>
      </c>
      <c r="Q57" s="128" t="str">
        <f t="shared" si="6"/>
        <v>TS/ms</v>
      </c>
      <c r="R57" s="127">
        <f t="shared" si="7"/>
        <v>16.64999999999999</v>
      </c>
      <c r="S57" s="127">
        <f t="shared" si="7"/>
        <v>15.60666666666667</v>
      </c>
      <c r="T57" s="127">
        <f t="shared" si="7"/>
        <v>16.553333333333335</v>
      </c>
      <c r="U57" s="127">
        <f t="shared" si="7"/>
        <v>14.233333333333334</v>
      </c>
      <c r="V57" s="127">
        <f t="shared" si="7"/>
        <v>15.936666666666675</v>
      </c>
      <c r="W57" s="127">
        <f t="shared" si="7"/>
        <v>13.676666666666662</v>
      </c>
    </row>
    <row r="58" spans="1:23" ht="12" customHeight="1">
      <c r="A58" s="130" t="s">
        <v>13</v>
      </c>
      <c r="B58" s="183">
        <v>18.897326687706595</v>
      </c>
      <c r="C58" s="179">
        <v>20.09029871238149</v>
      </c>
      <c r="D58" s="179">
        <v>18.790856196521034</v>
      </c>
      <c r="E58" s="179">
        <v>19.720466589243333</v>
      </c>
      <c r="F58" s="179">
        <v>19.080573418294104</v>
      </c>
      <c r="G58" s="184">
        <v>19.94036727480223</v>
      </c>
      <c r="H58" s="181"/>
      <c r="I58" s="182" t="s">
        <v>13</v>
      </c>
      <c r="J58" s="183">
        <v>17.96090082434943</v>
      </c>
      <c r="K58" s="179">
        <v>19.24377473315377</v>
      </c>
      <c r="L58" s="179">
        <v>17.93083270790134</v>
      </c>
      <c r="M58" s="179">
        <v>18.91071649335583</v>
      </c>
      <c r="N58" s="179">
        <v>18.25741681076394</v>
      </c>
      <c r="O58" s="184">
        <v>19.357177492369285</v>
      </c>
      <c r="Q58" s="128" t="str">
        <f t="shared" si="6"/>
        <v>G/dB</v>
      </c>
      <c r="R58" s="127">
        <f t="shared" si="7"/>
        <v>0.9364258633571652</v>
      </c>
      <c r="S58" s="127">
        <f t="shared" si="7"/>
        <v>0.8465239792277188</v>
      </c>
      <c r="T58" s="127">
        <f t="shared" si="7"/>
        <v>0.8600234886196922</v>
      </c>
      <c r="U58" s="127">
        <f t="shared" si="7"/>
        <v>0.8097500958875017</v>
      </c>
      <c r="V58" s="127">
        <f t="shared" si="7"/>
        <v>0.8231566075301657</v>
      </c>
      <c r="W58" s="127">
        <f t="shared" si="7"/>
        <v>0.583189782432946</v>
      </c>
    </row>
    <row r="59" spans="1:23" ht="12.75">
      <c r="A59" s="130" t="s">
        <v>14</v>
      </c>
      <c r="B59" s="183">
        <v>23.72</v>
      </c>
      <c r="C59" s="179">
        <v>23.096666666666668</v>
      </c>
      <c r="D59" s="179">
        <v>24.883333333333336</v>
      </c>
      <c r="E59" s="179">
        <v>18.596666666666668</v>
      </c>
      <c r="F59" s="179">
        <v>27.7</v>
      </c>
      <c r="G59" s="184">
        <v>21.87</v>
      </c>
      <c r="H59" s="181"/>
      <c r="I59" s="182" t="s">
        <v>14</v>
      </c>
      <c r="J59" s="183">
        <v>24.313333333333333</v>
      </c>
      <c r="K59" s="179">
        <v>22.47</v>
      </c>
      <c r="L59" s="179">
        <v>26.013333333333335</v>
      </c>
      <c r="M59" s="179">
        <v>18.1</v>
      </c>
      <c r="N59" s="179">
        <v>28.626666666666665</v>
      </c>
      <c r="O59" s="184">
        <v>22.183333333333334</v>
      </c>
      <c r="Q59" s="128" t="str">
        <f t="shared" si="6"/>
        <v>LF/%</v>
      </c>
      <c r="R59" s="127">
        <f t="shared" si="7"/>
        <v>-0.5933333333333337</v>
      </c>
      <c r="S59" s="127">
        <f t="shared" si="7"/>
        <v>0.6266666666666687</v>
      </c>
      <c r="T59" s="127">
        <f t="shared" si="7"/>
        <v>-1.129999999999999</v>
      </c>
      <c r="U59" s="127">
        <f t="shared" si="7"/>
        <v>0.49666666666666615</v>
      </c>
      <c r="V59" s="127">
        <f t="shared" si="7"/>
        <v>-0.9266666666666659</v>
      </c>
      <c r="W59" s="127">
        <f t="shared" si="7"/>
        <v>-0.3133333333333326</v>
      </c>
    </row>
    <row r="60" spans="1:23" ht="12.75">
      <c r="A60" s="130" t="s">
        <v>15</v>
      </c>
      <c r="B60" s="183">
        <v>36.79</v>
      </c>
      <c r="C60" s="179">
        <v>34.33</v>
      </c>
      <c r="D60" s="179">
        <v>37.49666666666666</v>
      </c>
      <c r="E60" s="179">
        <v>31.206666666666667</v>
      </c>
      <c r="F60" s="179">
        <v>40.16</v>
      </c>
      <c r="G60" s="184">
        <v>33.39666666666667</v>
      </c>
      <c r="H60" s="181"/>
      <c r="I60" s="182" t="s">
        <v>15</v>
      </c>
      <c r="J60" s="183">
        <v>37.33</v>
      </c>
      <c r="K60" s="179">
        <v>33.303333333333335</v>
      </c>
      <c r="L60" s="179">
        <v>38.51666666666667</v>
      </c>
      <c r="M60" s="179">
        <v>29.94666666666667</v>
      </c>
      <c r="N60" s="179">
        <v>40.88</v>
      </c>
      <c r="O60" s="184">
        <v>33.48666666666667</v>
      </c>
      <c r="Q60" s="128" t="str">
        <f t="shared" si="6"/>
        <v>LFC/%</v>
      </c>
      <c r="R60" s="127">
        <f t="shared" si="7"/>
        <v>-0.5399999999999991</v>
      </c>
      <c r="S60" s="127">
        <f t="shared" si="7"/>
        <v>1.0266666666666637</v>
      </c>
      <c r="T60" s="127">
        <f t="shared" si="7"/>
        <v>-1.0200000000000102</v>
      </c>
      <c r="U60" s="127">
        <f t="shared" si="7"/>
        <v>1.259999999999998</v>
      </c>
      <c r="V60" s="127">
        <f t="shared" si="7"/>
        <v>-0.720000000000006</v>
      </c>
      <c r="W60" s="127">
        <f t="shared" si="7"/>
        <v>-0.09000000000000341</v>
      </c>
    </row>
    <row r="61" spans="1:23" ht="12.75">
      <c r="A61" s="134" t="s">
        <v>16</v>
      </c>
      <c r="B61" s="185"/>
      <c r="C61" s="186"/>
      <c r="D61" s="186"/>
      <c r="E61" s="186"/>
      <c r="F61" s="186"/>
      <c r="G61" s="187"/>
      <c r="H61" s="181"/>
      <c r="I61" s="188" t="s">
        <v>16</v>
      </c>
      <c r="J61" s="185"/>
      <c r="K61" s="186"/>
      <c r="L61" s="186"/>
      <c r="M61" s="186"/>
      <c r="N61" s="186"/>
      <c r="O61" s="187"/>
      <c r="Q61" s="128" t="str">
        <f t="shared" si="6"/>
        <v>IACC</v>
      </c>
      <c r="R61" s="127">
        <f t="shared" si="7"/>
        <v>0</v>
      </c>
      <c r="S61" s="127">
        <f t="shared" si="7"/>
        <v>0</v>
      </c>
      <c r="T61" s="127">
        <f t="shared" si="7"/>
        <v>0</v>
      </c>
      <c r="U61" s="127">
        <f t="shared" si="7"/>
        <v>0</v>
      </c>
      <c r="V61" s="127">
        <f t="shared" si="7"/>
        <v>0</v>
      </c>
      <c r="W61" s="127">
        <f t="shared" si="7"/>
        <v>0</v>
      </c>
    </row>
    <row r="62" spans="5:15" ht="12.75">
      <c r="E62" s="171"/>
      <c r="F62" s="171"/>
      <c r="G62" s="171"/>
      <c r="H62" s="171"/>
      <c r="M62" s="171"/>
      <c r="N62" s="171"/>
      <c r="O62" s="171"/>
    </row>
    <row r="63" spans="1:18" ht="12.75">
      <c r="A63" s="155" t="s">
        <v>20</v>
      </c>
      <c r="B63" s="170" t="s">
        <v>1</v>
      </c>
      <c r="E63" s="171"/>
      <c r="F63" s="171"/>
      <c r="G63" s="171"/>
      <c r="H63" s="171"/>
      <c r="I63" s="172" t="s">
        <v>20</v>
      </c>
      <c r="J63" s="170" t="s">
        <v>1</v>
      </c>
      <c r="M63" s="171"/>
      <c r="N63" s="171"/>
      <c r="O63" s="171"/>
      <c r="Q63" s="128" t="str">
        <f>+A63</f>
        <v>2000 Hz</v>
      </c>
      <c r="R63" s="128" t="str">
        <f>+B63</f>
        <v>octave</v>
      </c>
    </row>
    <row r="64" spans="1:23" ht="12.75">
      <c r="A64" s="142"/>
      <c r="B64" s="173" t="s">
        <v>2</v>
      </c>
      <c r="C64" s="173" t="s">
        <v>3</v>
      </c>
      <c r="D64" s="174" t="s">
        <v>4</v>
      </c>
      <c r="E64" s="174" t="s">
        <v>5</v>
      </c>
      <c r="F64" s="173" t="s">
        <v>6</v>
      </c>
      <c r="G64" s="174" t="s">
        <v>7</v>
      </c>
      <c r="H64" s="175"/>
      <c r="I64" s="176"/>
      <c r="J64" s="173" t="s">
        <v>2</v>
      </c>
      <c r="K64" s="173" t="s">
        <v>3</v>
      </c>
      <c r="L64" s="174" t="s">
        <v>4</v>
      </c>
      <c r="M64" s="174" t="s">
        <v>5</v>
      </c>
      <c r="N64" s="173" t="s">
        <v>6</v>
      </c>
      <c r="O64" s="174" t="s">
        <v>7</v>
      </c>
      <c r="Q64" s="128">
        <f>+A64</f>
        <v>0</v>
      </c>
      <c r="R64" s="128" t="str">
        <f>+B64</f>
        <v>S1R1</v>
      </c>
      <c r="S64" s="128" t="str">
        <f>+C64</f>
        <v>S1R2</v>
      </c>
      <c r="T64" s="128" t="str">
        <f>+D64</f>
        <v>S1R3</v>
      </c>
      <c r="U64" s="128" t="str">
        <f>+E64</f>
        <v>S2R1</v>
      </c>
      <c r="V64" s="128" t="str">
        <f>+F64</f>
        <v>S2R2</v>
      </c>
      <c r="W64" s="128" t="str">
        <f>+G64</f>
        <v>S2R3</v>
      </c>
    </row>
    <row r="65" spans="1:23" ht="12.75">
      <c r="A65" s="130" t="s">
        <v>8</v>
      </c>
      <c r="B65" s="177">
        <v>1.0733333333333333</v>
      </c>
      <c r="C65" s="178">
        <v>1.0733333333333333</v>
      </c>
      <c r="D65" s="178">
        <v>1.0766666666666669</v>
      </c>
      <c r="E65" s="179">
        <v>1.0666666666666667</v>
      </c>
      <c r="F65" s="178">
        <v>1.0733333333333335</v>
      </c>
      <c r="G65" s="180">
        <v>1.07</v>
      </c>
      <c r="H65" s="181"/>
      <c r="I65" s="182" t="s">
        <v>8</v>
      </c>
      <c r="J65" s="177">
        <v>0.75</v>
      </c>
      <c r="K65" s="178">
        <v>0.7466666666666667</v>
      </c>
      <c r="L65" s="178">
        <v>0.75</v>
      </c>
      <c r="M65" s="179">
        <v>0.75</v>
      </c>
      <c r="N65" s="178">
        <v>0.7533333333333333</v>
      </c>
      <c r="O65" s="180">
        <v>0.75</v>
      </c>
      <c r="Q65" s="128" t="str">
        <f aca="true" t="shared" si="8" ref="Q65:Q73">+A65</f>
        <v>T30/s</v>
      </c>
      <c r="R65" s="127">
        <f aca="true" t="shared" si="9" ref="R65:W73">+B65-J65</f>
        <v>0.32333333333333325</v>
      </c>
      <c r="S65" s="127">
        <f t="shared" si="9"/>
        <v>0.32666666666666655</v>
      </c>
      <c r="T65" s="127">
        <f t="shared" si="9"/>
        <v>0.3266666666666669</v>
      </c>
      <c r="U65" s="127">
        <f t="shared" si="9"/>
        <v>0.31666666666666665</v>
      </c>
      <c r="V65" s="127">
        <f t="shared" si="9"/>
        <v>0.3200000000000002</v>
      </c>
      <c r="W65" s="127">
        <f t="shared" si="9"/>
        <v>0.32000000000000006</v>
      </c>
    </row>
    <row r="66" spans="1:23" ht="12.75">
      <c r="A66" s="130" t="s">
        <v>9</v>
      </c>
      <c r="B66" s="183">
        <v>1.07</v>
      </c>
      <c r="C66" s="179">
        <v>1.0466666666666669</v>
      </c>
      <c r="D66" s="179">
        <v>1.08</v>
      </c>
      <c r="E66" s="179">
        <v>1.0333333333333334</v>
      </c>
      <c r="F66" s="179">
        <v>1.0666666666666667</v>
      </c>
      <c r="G66" s="184">
        <v>1.0333333333333334</v>
      </c>
      <c r="H66" s="181"/>
      <c r="I66" s="182" t="s">
        <v>9</v>
      </c>
      <c r="J66" s="183">
        <v>0.7366666666666667</v>
      </c>
      <c r="K66" s="179">
        <v>0.7333333333333334</v>
      </c>
      <c r="L66" s="179">
        <v>0.75</v>
      </c>
      <c r="M66" s="179">
        <v>0.7233333333333333</v>
      </c>
      <c r="N66" s="179">
        <v>0.76</v>
      </c>
      <c r="O66" s="184">
        <v>0.7166666666666667</v>
      </c>
      <c r="Q66" s="128" t="str">
        <f t="shared" si="8"/>
        <v>EDT/s</v>
      </c>
      <c r="R66" s="127">
        <f t="shared" si="9"/>
        <v>0.33333333333333337</v>
      </c>
      <c r="S66" s="127">
        <f t="shared" si="9"/>
        <v>0.31333333333333346</v>
      </c>
      <c r="T66" s="127">
        <f t="shared" si="9"/>
        <v>0.33000000000000007</v>
      </c>
      <c r="U66" s="127">
        <f t="shared" si="9"/>
        <v>0.31000000000000016</v>
      </c>
      <c r="V66" s="127">
        <f t="shared" si="9"/>
        <v>0.30666666666666664</v>
      </c>
      <c r="W66" s="127">
        <f t="shared" si="9"/>
        <v>0.31666666666666676</v>
      </c>
    </row>
    <row r="67" spans="1:23" ht="12.75">
      <c r="A67" s="130" t="s">
        <v>10</v>
      </c>
      <c r="B67" s="183">
        <v>51.29333333333333</v>
      </c>
      <c r="C67" s="179">
        <v>55.42</v>
      </c>
      <c r="D67" s="179">
        <v>48.656666666666666</v>
      </c>
      <c r="E67" s="179">
        <v>56.7</v>
      </c>
      <c r="F67" s="179">
        <v>49.866666666666674</v>
      </c>
      <c r="G67" s="184">
        <v>57.53</v>
      </c>
      <c r="H67" s="181"/>
      <c r="I67" s="182" t="s">
        <v>10</v>
      </c>
      <c r="J67" s="183">
        <v>64.80333333333333</v>
      </c>
      <c r="K67" s="179">
        <v>68.08333333333333</v>
      </c>
      <c r="L67" s="179">
        <v>61.63333333333333</v>
      </c>
      <c r="M67" s="179">
        <v>68.82666666666667</v>
      </c>
      <c r="N67" s="179">
        <v>62.20333333333334</v>
      </c>
      <c r="O67" s="184">
        <v>68.78</v>
      </c>
      <c r="Q67" s="128" t="str">
        <f t="shared" si="8"/>
        <v>D/%</v>
      </c>
      <c r="R67" s="127">
        <f t="shared" si="9"/>
        <v>-13.509999999999998</v>
      </c>
      <c r="S67" s="127">
        <f t="shared" si="9"/>
        <v>-12.663333333333327</v>
      </c>
      <c r="T67" s="127">
        <f t="shared" si="9"/>
        <v>-12.976666666666667</v>
      </c>
      <c r="U67" s="127">
        <f t="shared" si="9"/>
        <v>-12.126666666666665</v>
      </c>
      <c r="V67" s="127">
        <f t="shared" si="9"/>
        <v>-12.336666666666666</v>
      </c>
      <c r="W67" s="127">
        <f t="shared" si="9"/>
        <v>-11.25</v>
      </c>
    </row>
    <row r="68" spans="1:23" ht="12.75">
      <c r="A68" s="130" t="s">
        <v>11</v>
      </c>
      <c r="B68" s="183">
        <v>3.051534820976019</v>
      </c>
      <c r="C68" s="179">
        <v>3.6680885288916176</v>
      </c>
      <c r="D68" s="179">
        <v>2.624511332446766</v>
      </c>
      <c r="E68" s="179">
        <v>3.962080330448975</v>
      </c>
      <c r="F68" s="179">
        <v>2.8361814259978724</v>
      </c>
      <c r="G68" s="184">
        <v>3.9789250996425323</v>
      </c>
      <c r="H68" s="181"/>
      <c r="I68" s="182" t="s">
        <v>11</v>
      </c>
      <c r="J68" s="183">
        <v>5.9424508295826195</v>
      </c>
      <c r="K68" s="179">
        <v>6.5148276118254325</v>
      </c>
      <c r="L68" s="179">
        <v>5.43660305411187</v>
      </c>
      <c r="M68" s="179">
        <v>6.679397510283314</v>
      </c>
      <c r="N68" s="179">
        <v>5.481197148576619</v>
      </c>
      <c r="O68" s="184">
        <v>6.647467715513152</v>
      </c>
      <c r="Q68" s="128" t="str">
        <f t="shared" si="8"/>
        <v>C/dB</v>
      </c>
      <c r="R68" s="127">
        <f t="shared" si="9"/>
        <v>-2.8909160086066006</v>
      </c>
      <c r="S68" s="127">
        <f t="shared" si="9"/>
        <v>-2.846739082933815</v>
      </c>
      <c r="T68" s="127">
        <f t="shared" si="9"/>
        <v>-2.8120917216651042</v>
      </c>
      <c r="U68" s="127">
        <f t="shared" si="9"/>
        <v>-2.717317179834339</v>
      </c>
      <c r="V68" s="127">
        <f t="shared" si="9"/>
        <v>-2.645015722578747</v>
      </c>
      <c r="W68" s="127">
        <f t="shared" si="9"/>
        <v>-2.6685426158706194</v>
      </c>
    </row>
    <row r="69" spans="1:23" ht="12.75">
      <c r="A69" s="130" t="s">
        <v>12</v>
      </c>
      <c r="B69" s="183">
        <v>72.14666666666666</v>
      </c>
      <c r="C69" s="179">
        <v>65.71333333333334</v>
      </c>
      <c r="D69" s="179">
        <v>75.91666666666667</v>
      </c>
      <c r="E69" s="179">
        <v>63.39</v>
      </c>
      <c r="F69" s="179">
        <v>73.88</v>
      </c>
      <c r="G69" s="184">
        <v>63.38333333333333</v>
      </c>
      <c r="H69" s="181"/>
      <c r="I69" s="182" t="s">
        <v>12</v>
      </c>
      <c r="J69" s="183">
        <v>48.37</v>
      </c>
      <c r="K69" s="179">
        <v>43.74333333333334</v>
      </c>
      <c r="L69" s="179">
        <v>52.33</v>
      </c>
      <c r="M69" s="179">
        <v>42.62</v>
      </c>
      <c r="N69" s="179">
        <v>51.38333333333333</v>
      </c>
      <c r="O69" s="184">
        <v>43.446666666666665</v>
      </c>
      <c r="Q69" s="128" t="str">
        <f t="shared" si="8"/>
        <v>TS/ms</v>
      </c>
      <c r="R69" s="127">
        <f t="shared" si="9"/>
        <v>23.776666666666664</v>
      </c>
      <c r="S69" s="127">
        <f t="shared" si="9"/>
        <v>21.97</v>
      </c>
      <c r="T69" s="127">
        <f t="shared" si="9"/>
        <v>23.586666666666673</v>
      </c>
      <c r="U69" s="127">
        <f t="shared" si="9"/>
        <v>20.770000000000003</v>
      </c>
      <c r="V69" s="127">
        <f t="shared" si="9"/>
        <v>22.496666666666663</v>
      </c>
      <c r="W69" s="127">
        <f t="shared" si="9"/>
        <v>19.936666666666667</v>
      </c>
    </row>
    <row r="70" spans="1:23" ht="12.75">
      <c r="A70" s="130" t="s">
        <v>13</v>
      </c>
      <c r="B70" s="183">
        <v>19.17717749236929</v>
      </c>
      <c r="C70" s="179">
        <v>20.34367457607928</v>
      </c>
      <c r="D70" s="179">
        <v>19.080701338422937</v>
      </c>
      <c r="E70" s="179">
        <v>19.96716990000118</v>
      </c>
      <c r="F70" s="179">
        <v>19.377416810763936</v>
      </c>
      <c r="G70" s="184">
        <v>20.19399852738656</v>
      </c>
      <c r="H70" s="181"/>
      <c r="I70" s="182" t="s">
        <v>13</v>
      </c>
      <c r="J70" s="183">
        <v>17.701445736975977</v>
      </c>
      <c r="K70" s="179">
        <v>19.120695507038395</v>
      </c>
      <c r="L70" s="179">
        <v>17.804351408685022</v>
      </c>
      <c r="M70" s="179">
        <v>18.720711050744686</v>
      </c>
      <c r="N70" s="179">
        <v>18.1375935075325</v>
      </c>
      <c r="O70" s="184">
        <v>19.290581181424766</v>
      </c>
      <c r="Q70" s="128" t="str">
        <f t="shared" si="8"/>
        <v>G/dB</v>
      </c>
      <c r="R70" s="127">
        <f t="shared" si="9"/>
        <v>1.475731755393312</v>
      </c>
      <c r="S70" s="127">
        <f t="shared" si="9"/>
        <v>1.2229790690408855</v>
      </c>
      <c r="T70" s="127">
        <f t="shared" si="9"/>
        <v>1.2763499297379148</v>
      </c>
      <c r="U70" s="127">
        <f t="shared" si="9"/>
        <v>1.246458849256495</v>
      </c>
      <c r="V70" s="127">
        <f t="shared" si="9"/>
        <v>1.2398233032314359</v>
      </c>
      <c r="W70" s="127">
        <f t="shared" si="9"/>
        <v>0.9034173459617953</v>
      </c>
    </row>
    <row r="71" spans="1:23" ht="12.75">
      <c r="A71" s="130" t="s">
        <v>14</v>
      </c>
      <c r="B71" s="183">
        <v>23.623333333333335</v>
      </c>
      <c r="C71" s="179">
        <v>23.22666666666667</v>
      </c>
      <c r="D71" s="179">
        <v>24.97666666666667</v>
      </c>
      <c r="E71" s="179">
        <v>18.686666666666667</v>
      </c>
      <c r="F71" s="179">
        <v>27.826666666666664</v>
      </c>
      <c r="G71" s="184">
        <v>21.906666666666666</v>
      </c>
      <c r="H71" s="181"/>
      <c r="I71" s="182" t="s">
        <v>14</v>
      </c>
      <c r="J71" s="183">
        <v>24.016666666666666</v>
      </c>
      <c r="K71" s="179">
        <v>22.46</v>
      </c>
      <c r="L71" s="179">
        <v>25.77333333333333</v>
      </c>
      <c r="M71" s="179">
        <v>17.66</v>
      </c>
      <c r="N71" s="179">
        <v>28.406666666666666</v>
      </c>
      <c r="O71" s="184">
        <v>21.79</v>
      </c>
      <c r="Q71" s="128" t="str">
        <f t="shared" si="8"/>
        <v>LF/%</v>
      </c>
      <c r="R71" s="127">
        <f t="shared" si="9"/>
        <v>-0.39333333333333087</v>
      </c>
      <c r="S71" s="127">
        <f t="shared" si="9"/>
        <v>0.7666666666666693</v>
      </c>
      <c r="T71" s="127">
        <f t="shared" si="9"/>
        <v>-0.7966666666666598</v>
      </c>
      <c r="U71" s="127">
        <f t="shared" si="9"/>
        <v>1.0266666666666673</v>
      </c>
      <c r="V71" s="127">
        <f t="shared" si="9"/>
        <v>-0.5800000000000018</v>
      </c>
      <c r="W71" s="127">
        <f t="shared" si="9"/>
        <v>0.11666666666666714</v>
      </c>
    </row>
    <row r="72" spans="1:23" ht="12.75">
      <c r="A72" s="130" t="s">
        <v>15</v>
      </c>
      <c r="B72" s="183">
        <v>36.78</v>
      </c>
      <c r="C72" s="179">
        <v>34.60333333333333</v>
      </c>
      <c r="D72" s="179">
        <v>37.763333333333335</v>
      </c>
      <c r="E72" s="179">
        <v>31.42</v>
      </c>
      <c r="F72" s="179">
        <v>40.47</v>
      </c>
      <c r="G72" s="184">
        <v>33.6</v>
      </c>
      <c r="H72" s="181"/>
      <c r="I72" s="182" t="s">
        <v>15</v>
      </c>
      <c r="J72" s="183">
        <v>36.98</v>
      </c>
      <c r="K72" s="179">
        <v>33.163333333333334</v>
      </c>
      <c r="L72" s="179">
        <v>38.32666666666667</v>
      </c>
      <c r="M72" s="179">
        <v>29.21</v>
      </c>
      <c r="N72" s="179">
        <v>40.76</v>
      </c>
      <c r="O72" s="184">
        <v>33.18</v>
      </c>
      <c r="Q72" s="128" t="str">
        <f t="shared" si="8"/>
        <v>LFC/%</v>
      </c>
      <c r="R72" s="127">
        <f t="shared" si="9"/>
        <v>-0.19999999999999574</v>
      </c>
      <c r="S72" s="127">
        <f t="shared" si="9"/>
        <v>1.4399999999999977</v>
      </c>
      <c r="T72" s="127">
        <f t="shared" si="9"/>
        <v>-0.5633333333333326</v>
      </c>
      <c r="U72" s="127">
        <f t="shared" si="9"/>
        <v>2.210000000000001</v>
      </c>
      <c r="V72" s="127">
        <f t="shared" si="9"/>
        <v>-0.28999999999999915</v>
      </c>
      <c r="W72" s="127">
        <f t="shared" si="9"/>
        <v>0.4200000000000017</v>
      </c>
    </row>
    <row r="73" spans="1:23" ht="12.75">
      <c r="A73" s="134" t="s">
        <v>16</v>
      </c>
      <c r="B73" s="185"/>
      <c r="C73" s="186"/>
      <c r="D73" s="186"/>
      <c r="E73" s="186"/>
      <c r="F73" s="186"/>
      <c r="G73" s="187"/>
      <c r="H73" s="181"/>
      <c r="I73" s="188" t="s">
        <v>16</v>
      </c>
      <c r="J73" s="185"/>
      <c r="K73" s="186"/>
      <c r="L73" s="186"/>
      <c r="M73" s="186"/>
      <c r="N73" s="186"/>
      <c r="O73" s="187"/>
      <c r="Q73" s="128" t="str">
        <f t="shared" si="8"/>
        <v>IACC</v>
      </c>
      <c r="R73" s="127">
        <f t="shared" si="9"/>
        <v>0</v>
      </c>
      <c r="S73" s="127">
        <f t="shared" si="9"/>
        <v>0</v>
      </c>
      <c r="T73" s="127">
        <f t="shared" si="9"/>
        <v>0</v>
      </c>
      <c r="U73" s="127">
        <f t="shared" si="9"/>
        <v>0</v>
      </c>
      <c r="V73" s="127">
        <f t="shared" si="9"/>
        <v>0</v>
      </c>
      <c r="W73" s="127">
        <f t="shared" si="9"/>
        <v>0</v>
      </c>
    </row>
    <row r="74" spans="5:15" ht="12.75">
      <c r="E74" s="171"/>
      <c r="F74" s="171"/>
      <c r="G74" s="171"/>
      <c r="H74" s="171"/>
      <c r="M74" s="171"/>
      <c r="N74" s="171"/>
      <c r="O74" s="171"/>
    </row>
    <row r="75" spans="1:18" ht="12.75">
      <c r="A75" s="155" t="s">
        <v>21</v>
      </c>
      <c r="B75" s="170" t="s">
        <v>1</v>
      </c>
      <c r="E75" s="171"/>
      <c r="F75" s="171"/>
      <c r="G75" s="171"/>
      <c r="H75" s="171"/>
      <c r="I75" s="172" t="s">
        <v>21</v>
      </c>
      <c r="J75" s="170" t="s">
        <v>1</v>
      </c>
      <c r="M75" s="171"/>
      <c r="N75" s="171"/>
      <c r="O75" s="171"/>
      <c r="Q75" s="128" t="str">
        <f>+A75</f>
        <v>4000 Hz</v>
      </c>
      <c r="R75" s="128" t="str">
        <f>+B75</f>
        <v>octave</v>
      </c>
    </row>
    <row r="76" spans="1:23" ht="12.75">
      <c r="A76" s="142"/>
      <c r="B76" s="173" t="s">
        <v>2</v>
      </c>
      <c r="C76" s="173" t="s">
        <v>3</v>
      </c>
      <c r="D76" s="174" t="s">
        <v>4</v>
      </c>
      <c r="E76" s="174" t="s">
        <v>5</v>
      </c>
      <c r="F76" s="173" t="s">
        <v>6</v>
      </c>
      <c r="G76" s="174" t="s">
        <v>7</v>
      </c>
      <c r="H76" s="175"/>
      <c r="I76" s="176"/>
      <c r="J76" s="173" t="s">
        <v>2</v>
      </c>
      <c r="K76" s="173" t="s">
        <v>3</v>
      </c>
      <c r="L76" s="174" t="s">
        <v>4</v>
      </c>
      <c r="M76" s="174" t="s">
        <v>5</v>
      </c>
      <c r="N76" s="173" t="s">
        <v>6</v>
      </c>
      <c r="O76" s="174" t="s">
        <v>7</v>
      </c>
      <c r="Q76" s="128">
        <f>+A76</f>
        <v>0</v>
      </c>
      <c r="R76" s="128" t="str">
        <f>+B76</f>
        <v>S1R1</v>
      </c>
      <c r="S76" s="128" t="str">
        <f>+C76</f>
        <v>S1R2</v>
      </c>
      <c r="T76" s="128" t="str">
        <f>+D76</f>
        <v>S1R3</v>
      </c>
      <c r="U76" s="128" t="str">
        <f>+E76</f>
        <v>S2R1</v>
      </c>
      <c r="V76" s="128" t="str">
        <f>+F76</f>
        <v>S2R2</v>
      </c>
      <c r="W76" s="128" t="str">
        <f>+G76</f>
        <v>S2R3</v>
      </c>
    </row>
    <row r="77" spans="1:23" ht="12.75">
      <c r="A77" s="130" t="s">
        <v>8</v>
      </c>
      <c r="B77" s="177">
        <v>0.9466666666666667</v>
      </c>
      <c r="C77" s="178">
        <v>0.9433333333333334</v>
      </c>
      <c r="D77" s="178">
        <v>0.94</v>
      </c>
      <c r="E77" s="179">
        <v>0.94</v>
      </c>
      <c r="F77" s="178">
        <v>0.9433333333333334</v>
      </c>
      <c r="G77" s="180">
        <v>0.9433333333333334</v>
      </c>
      <c r="H77" s="181"/>
      <c r="I77" s="182" t="s">
        <v>8</v>
      </c>
      <c r="J77" s="177">
        <v>0.65</v>
      </c>
      <c r="K77" s="178">
        <v>0.65</v>
      </c>
      <c r="L77" s="178">
        <v>0.65</v>
      </c>
      <c r="M77" s="179">
        <v>0.65</v>
      </c>
      <c r="N77" s="178">
        <v>0.65</v>
      </c>
      <c r="O77" s="180">
        <v>0.65</v>
      </c>
      <c r="Q77" s="128" t="str">
        <f aca="true" t="shared" si="10" ref="Q77:Q85">+A77</f>
        <v>T30/s</v>
      </c>
      <c r="R77" s="127">
        <f aca="true" t="shared" si="11" ref="R77:W85">+B77-J77</f>
        <v>0.29666666666666663</v>
      </c>
      <c r="S77" s="127">
        <f t="shared" si="11"/>
        <v>0.29333333333333333</v>
      </c>
      <c r="T77" s="127">
        <f t="shared" si="11"/>
        <v>0.2899999999999999</v>
      </c>
      <c r="U77" s="127">
        <f t="shared" si="11"/>
        <v>0.2899999999999999</v>
      </c>
      <c r="V77" s="127">
        <f t="shared" si="11"/>
        <v>0.29333333333333333</v>
      </c>
      <c r="W77" s="127">
        <f t="shared" si="11"/>
        <v>0.29333333333333333</v>
      </c>
    </row>
    <row r="78" spans="1:23" ht="12.75">
      <c r="A78" s="130" t="s">
        <v>9</v>
      </c>
      <c r="B78" s="183">
        <v>0.94</v>
      </c>
      <c r="C78" s="179">
        <v>0.92</v>
      </c>
      <c r="D78" s="179">
        <v>0.95</v>
      </c>
      <c r="E78" s="179">
        <v>0.9</v>
      </c>
      <c r="F78" s="179">
        <v>0.9366666666666666</v>
      </c>
      <c r="G78" s="184">
        <v>0.8966666666666666</v>
      </c>
      <c r="H78" s="181"/>
      <c r="I78" s="182" t="s">
        <v>9</v>
      </c>
      <c r="J78" s="183">
        <v>0.6366666666666667</v>
      </c>
      <c r="K78" s="179">
        <v>0.63</v>
      </c>
      <c r="L78" s="179">
        <v>0.65</v>
      </c>
      <c r="M78" s="179">
        <v>0.62</v>
      </c>
      <c r="N78" s="179">
        <v>0.6533333333333333</v>
      </c>
      <c r="O78" s="184">
        <v>0.6133333333333333</v>
      </c>
      <c r="Q78" s="128" t="str">
        <f t="shared" si="10"/>
        <v>EDT/s</v>
      </c>
      <c r="R78" s="127">
        <f t="shared" si="11"/>
        <v>0.30333333333333323</v>
      </c>
      <c r="S78" s="127">
        <f t="shared" si="11"/>
        <v>0.29000000000000004</v>
      </c>
      <c r="T78" s="127">
        <f t="shared" si="11"/>
        <v>0.29999999999999993</v>
      </c>
      <c r="U78" s="127">
        <f t="shared" si="11"/>
        <v>0.28</v>
      </c>
      <c r="V78" s="127">
        <f t="shared" si="11"/>
        <v>0.2833333333333333</v>
      </c>
      <c r="W78" s="127">
        <f t="shared" si="11"/>
        <v>0.2833333333333333</v>
      </c>
    </row>
    <row r="79" spans="1:23" ht="12.75">
      <c r="A79" s="130" t="s">
        <v>10</v>
      </c>
      <c r="B79" s="183">
        <v>55.96333333333333</v>
      </c>
      <c r="C79" s="179">
        <v>60.03333333333334</v>
      </c>
      <c r="D79" s="179">
        <v>53.19666666666666</v>
      </c>
      <c r="E79" s="179">
        <v>61.25</v>
      </c>
      <c r="F79" s="179">
        <v>54.46333333333334</v>
      </c>
      <c r="G79" s="184">
        <v>62.133333333333326</v>
      </c>
      <c r="H79" s="181"/>
      <c r="I79" s="182" t="s">
        <v>10</v>
      </c>
      <c r="J79" s="183">
        <v>70.15</v>
      </c>
      <c r="K79" s="179">
        <v>73.34666666666666</v>
      </c>
      <c r="L79" s="179">
        <v>67.07666666666667</v>
      </c>
      <c r="M79" s="179">
        <v>74.04</v>
      </c>
      <c r="N79" s="179">
        <v>67.54</v>
      </c>
      <c r="O79" s="184">
        <v>73.69666666666667</v>
      </c>
      <c r="Q79" s="128" t="str">
        <f t="shared" si="10"/>
        <v>D/%</v>
      </c>
      <c r="R79" s="127">
        <f t="shared" si="11"/>
        <v>-14.186666666666675</v>
      </c>
      <c r="S79" s="127">
        <f t="shared" si="11"/>
        <v>-13.313333333333325</v>
      </c>
      <c r="T79" s="127">
        <f t="shared" si="11"/>
        <v>-13.88000000000001</v>
      </c>
      <c r="U79" s="127">
        <f t="shared" si="11"/>
        <v>-12.790000000000006</v>
      </c>
      <c r="V79" s="127">
        <f t="shared" si="11"/>
        <v>-13.076666666666668</v>
      </c>
      <c r="W79" s="127">
        <f t="shared" si="11"/>
        <v>-11.563333333333347</v>
      </c>
    </row>
    <row r="80" spans="1:23" ht="12.75">
      <c r="A80" s="130" t="s">
        <v>11</v>
      </c>
      <c r="B80" s="183">
        <v>4.044750623804067</v>
      </c>
      <c r="C80" s="179">
        <v>4.685863504429821</v>
      </c>
      <c r="D80" s="179">
        <v>3.577962031715515</v>
      </c>
      <c r="E80" s="179">
        <v>5.005985563361469</v>
      </c>
      <c r="F80" s="179">
        <v>3.8304528270237057</v>
      </c>
      <c r="G80" s="184">
        <v>5.011826134784448</v>
      </c>
      <c r="H80" s="181"/>
      <c r="I80" s="182" t="s">
        <v>11</v>
      </c>
      <c r="J80" s="183">
        <v>7.303799985955118</v>
      </c>
      <c r="K80" s="179">
        <v>7.939020460092888</v>
      </c>
      <c r="L80" s="179">
        <v>6.749571132612058</v>
      </c>
      <c r="M80" s="179">
        <v>8.115307586178899</v>
      </c>
      <c r="N80" s="179">
        <v>6.818700988903764</v>
      </c>
      <c r="O80" s="184">
        <v>8.0186012812314</v>
      </c>
      <c r="Q80" s="128" t="str">
        <f t="shared" si="10"/>
        <v>C/dB</v>
      </c>
      <c r="R80" s="127">
        <f t="shared" si="11"/>
        <v>-3.2590493621510515</v>
      </c>
      <c r="S80" s="127">
        <f t="shared" si="11"/>
        <v>-3.2531569556630675</v>
      </c>
      <c r="T80" s="127">
        <f t="shared" si="11"/>
        <v>-3.171609100896543</v>
      </c>
      <c r="U80" s="127">
        <f t="shared" si="11"/>
        <v>-3.1093220228174294</v>
      </c>
      <c r="V80" s="127">
        <f t="shared" si="11"/>
        <v>-2.9882481618800583</v>
      </c>
      <c r="W80" s="127">
        <f t="shared" si="11"/>
        <v>-3.0067751464469517</v>
      </c>
    </row>
    <row r="81" spans="1:23" ht="12.75">
      <c r="A81" s="130" t="s">
        <v>12</v>
      </c>
      <c r="B81" s="183">
        <v>62.77</v>
      </c>
      <c r="C81" s="179">
        <v>56.77</v>
      </c>
      <c r="D81" s="179">
        <v>66.44333333333334</v>
      </c>
      <c r="E81" s="179">
        <v>54.586666666666666</v>
      </c>
      <c r="F81" s="179">
        <v>64.39333333333333</v>
      </c>
      <c r="G81" s="184">
        <v>54.49333333333333</v>
      </c>
      <c r="H81" s="181"/>
      <c r="I81" s="182" t="s">
        <v>12</v>
      </c>
      <c r="J81" s="183">
        <v>41.06</v>
      </c>
      <c r="K81" s="179">
        <v>36.70333333333334</v>
      </c>
      <c r="L81" s="179">
        <v>44.83666666666667</v>
      </c>
      <c r="M81" s="179">
        <v>35.60666666666666</v>
      </c>
      <c r="N81" s="179">
        <v>43.88</v>
      </c>
      <c r="O81" s="184">
        <v>36.74333333333333</v>
      </c>
      <c r="Q81" s="128" t="str">
        <f t="shared" si="10"/>
        <v>TS/ms</v>
      </c>
      <c r="R81" s="127">
        <f t="shared" si="11"/>
        <v>21.71</v>
      </c>
      <c r="S81" s="127">
        <f t="shared" si="11"/>
        <v>20.066666666666663</v>
      </c>
      <c r="T81" s="127">
        <f t="shared" si="11"/>
        <v>21.60666666666667</v>
      </c>
      <c r="U81" s="127">
        <f t="shared" si="11"/>
        <v>18.980000000000004</v>
      </c>
      <c r="V81" s="127">
        <f t="shared" si="11"/>
        <v>20.51333333333333</v>
      </c>
      <c r="W81" s="127">
        <f t="shared" si="11"/>
        <v>17.75</v>
      </c>
    </row>
    <row r="82" spans="1:23" ht="12.75">
      <c r="A82" s="130" t="s">
        <v>13</v>
      </c>
      <c r="B82" s="183">
        <v>18.66559348059542</v>
      </c>
      <c r="C82" s="179">
        <v>19.887226619356344</v>
      </c>
      <c r="D82" s="179">
        <v>18.54429004013065</v>
      </c>
      <c r="E82" s="179">
        <v>19.560385245592627</v>
      </c>
      <c r="F82" s="179">
        <v>18.866024525578027</v>
      </c>
      <c r="G82" s="184">
        <v>19.773548849671837</v>
      </c>
      <c r="H82" s="181"/>
      <c r="I82" s="182" t="s">
        <v>13</v>
      </c>
      <c r="J82" s="183">
        <v>17.10055055948193</v>
      </c>
      <c r="K82" s="179">
        <v>18.6691595229562</v>
      </c>
      <c r="L82" s="179">
        <v>17.201654812374233</v>
      </c>
      <c r="M82" s="179">
        <v>18.236118145380352</v>
      </c>
      <c r="N82" s="179">
        <v>17.574238521079508</v>
      </c>
      <c r="O82" s="184">
        <v>18.852486436001374</v>
      </c>
      <c r="Q82" s="128" t="str">
        <f t="shared" si="10"/>
        <v>G/dB</v>
      </c>
      <c r="R82" s="127">
        <f t="shared" si="11"/>
        <v>1.5650429211134878</v>
      </c>
      <c r="S82" s="127">
        <f t="shared" si="11"/>
        <v>1.2180670964001443</v>
      </c>
      <c r="T82" s="127">
        <f t="shared" si="11"/>
        <v>1.3426352277564177</v>
      </c>
      <c r="U82" s="127">
        <f t="shared" si="11"/>
        <v>1.3242671002122748</v>
      </c>
      <c r="V82" s="127">
        <f t="shared" si="11"/>
        <v>1.291786004498519</v>
      </c>
      <c r="W82" s="127">
        <f t="shared" si="11"/>
        <v>0.9210624136704624</v>
      </c>
    </row>
    <row r="83" spans="1:23" ht="12.75">
      <c r="A83" s="130" t="s">
        <v>14</v>
      </c>
      <c r="B83" s="183">
        <v>23.32</v>
      </c>
      <c r="C83" s="179">
        <v>22.97666666666667</v>
      </c>
      <c r="D83" s="179">
        <v>24.4</v>
      </c>
      <c r="E83" s="179">
        <v>18.293333333333333</v>
      </c>
      <c r="F83" s="179">
        <v>27.48</v>
      </c>
      <c r="G83" s="184">
        <v>21.5</v>
      </c>
      <c r="H83" s="181"/>
      <c r="I83" s="182" t="s">
        <v>14</v>
      </c>
      <c r="J83" s="183">
        <v>23.33</v>
      </c>
      <c r="K83" s="179">
        <v>21.9</v>
      </c>
      <c r="L83" s="179">
        <v>24.97</v>
      </c>
      <c r="M83" s="179">
        <v>16.843333333333334</v>
      </c>
      <c r="N83" s="179">
        <v>27.793333333333333</v>
      </c>
      <c r="O83" s="184">
        <v>21.056666666666665</v>
      </c>
      <c r="Q83" s="128" t="str">
        <f t="shared" si="10"/>
        <v>LF/%</v>
      </c>
      <c r="R83" s="127">
        <f t="shared" si="11"/>
        <v>-0.00999999999999801</v>
      </c>
      <c r="S83" s="127">
        <f t="shared" si="11"/>
        <v>1.0766666666666715</v>
      </c>
      <c r="T83" s="127">
        <f t="shared" si="11"/>
        <v>-0.5700000000000003</v>
      </c>
      <c r="U83" s="127">
        <f t="shared" si="11"/>
        <v>1.4499999999999993</v>
      </c>
      <c r="V83" s="127">
        <f t="shared" si="11"/>
        <v>-0.3133333333333326</v>
      </c>
      <c r="W83" s="127">
        <f t="shared" si="11"/>
        <v>0.44333333333333513</v>
      </c>
    </row>
    <row r="84" spans="1:23" ht="12.75">
      <c r="A84" s="130" t="s">
        <v>15</v>
      </c>
      <c r="B84" s="183">
        <v>36.25</v>
      </c>
      <c r="C84" s="179">
        <v>34.06</v>
      </c>
      <c r="D84" s="179">
        <v>37.00333333333334</v>
      </c>
      <c r="E84" s="179">
        <v>30.756666666666664</v>
      </c>
      <c r="F84" s="179">
        <v>39.88666666666666</v>
      </c>
      <c r="G84" s="184">
        <v>32.983333333333334</v>
      </c>
      <c r="H84" s="181"/>
      <c r="I84" s="182" t="s">
        <v>15</v>
      </c>
      <c r="J84" s="183">
        <v>35.903333333333336</v>
      </c>
      <c r="K84" s="179">
        <v>32.196666666666665</v>
      </c>
      <c r="L84" s="179">
        <v>37.21666666666666</v>
      </c>
      <c r="M84" s="179">
        <v>27.886666666666667</v>
      </c>
      <c r="N84" s="179">
        <v>39.84</v>
      </c>
      <c r="O84" s="184">
        <v>32.09666666666667</v>
      </c>
      <c r="Q84" s="128" t="str">
        <f t="shared" si="10"/>
        <v>LFC/%</v>
      </c>
      <c r="R84" s="127">
        <f t="shared" si="11"/>
        <v>0.346666666666664</v>
      </c>
      <c r="S84" s="127">
        <f t="shared" si="11"/>
        <v>1.8633333333333368</v>
      </c>
      <c r="T84" s="127">
        <f t="shared" si="11"/>
        <v>-0.21333333333332405</v>
      </c>
      <c r="U84" s="127">
        <f t="shared" si="11"/>
        <v>2.8699999999999974</v>
      </c>
      <c r="V84" s="127">
        <f t="shared" si="11"/>
        <v>0.04666666666665975</v>
      </c>
      <c r="W84" s="127">
        <f t="shared" si="11"/>
        <v>0.8866666666666632</v>
      </c>
    </row>
    <row r="85" spans="1:23" ht="12.75">
      <c r="A85" s="134" t="s">
        <v>16</v>
      </c>
      <c r="B85" s="185"/>
      <c r="C85" s="186"/>
      <c r="D85" s="186"/>
      <c r="E85" s="186"/>
      <c r="F85" s="186"/>
      <c r="G85" s="187"/>
      <c r="H85" s="181"/>
      <c r="I85" s="188" t="s">
        <v>16</v>
      </c>
      <c r="J85" s="185"/>
      <c r="K85" s="186"/>
      <c r="L85" s="186"/>
      <c r="M85" s="186"/>
      <c r="N85" s="186"/>
      <c r="O85" s="187"/>
      <c r="Q85" s="128" t="str">
        <f t="shared" si="10"/>
        <v>IACC</v>
      </c>
      <c r="R85" s="127">
        <f t="shared" si="11"/>
        <v>0</v>
      </c>
      <c r="S85" s="127">
        <f t="shared" si="11"/>
        <v>0</v>
      </c>
      <c r="T85" s="127">
        <f t="shared" si="11"/>
        <v>0</v>
      </c>
      <c r="U85" s="127">
        <f t="shared" si="11"/>
        <v>0</v>
      </c>
      <c r="V85" s="127">
        <f t="shared" si="11"/>
        <v>0</v>
      </c>
      <c r="W85" s="127">
        <f t="shared" si="11"/>
        <v>0</v>
      </c>
    </row>
    <row r="86" spans="5:15" ht="12.75">
      <c r="E86" s="171"/>
      <c r="F86" s="171"/>
      <c r="G86" s="171"/>
      <c r="H86" s="171"/>
      <c r="M86" s="171"/>
      <c r="N86" s="171"/>
      <c r="O86" s="171"/>
    </row>
    <row r="87" spans="5:15" ht="12.75">
      <c r="E87" s="171"/>
      <c r="F87" s="171"/>
      <c r="G87" s="171"/>
      <c r="H87" s="171"/>
      <c r="M87" s="171"/>
      <c r="N87" s="171"/>
      <c r="O87" s="171"/>
    </row>
    <row r="88" spans="1:15" ht="12.75">
      <c r="A88" s="146"/>
      <c r="E88" s="171"/>
      <c r="F88" s="171"/>
      <c r="G88" s="171"/>
      <c r="H88" s="171"/>
      <c r="I88" s="189"/>
      <c r="M88" s="171"/>
      <c r="N88" s="171"/>
      <c r="O88" s="171"/>
    </row>
    <row r="89" spans="5:15" ht="12.75">
      <c r="E89" s="171"/>
      <c r="F89" s="171"/>
      <c r="G89" s="171"/>
      <c r="H89" s="171"/>
      <c r="M89" s="171"/>
      <c r="N89" s="171"/>
      <c r="O89" s="171"/>
    </row>
    <row r="90" spans="5:15" ht="12.75">
      <c r="E90" s="171"/>
      <c r="F90" s="171"/>
      <c r="G90" s="171"/>
      <c r="H90" s="171"/>
      <c r="M90" s="171"/>
      <c r="N90" s="171"/>
      <c r="O90" s="171"/>
    </row>
    <row r="91" spans="5:15" ht="12.75">
      <c r="E91" s="171"/>
      <c r="F91" s="171"/>
      <c r="G91" s="171"/>
      <c r="H91" s="171"/>
      <c r="M91" s="171"/>
      <c r="N91" s="171"/>
      <c r="O91" s="171"/>
    </row>
    <row r="92" spans="5:15" ht="12.75">
      <c r="E92" s="171"/>
      <c r="F92" s="171"/>
      <c r="G92" s="171"/>
      <c r="H92" s="171"/>
      <c r="M92" s="171"/>
      <c r="N92" s="171"/>
      <c r="O92" s="171"/>
    </row>
    <row r="93" spans="5:15" ht="12.75">
      <c r="E93" s="171"/>
      <c r="F93" s="171"/>
      <c r="G93" s="171"/>
      <c r="H93" s="171"/>
      <c r="M93" s="171"/>
      <c r="N93" s="171"/>
      <c r="O93" s="17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6"/>
  <dimension ref="A1:AG160"/>
  <sheetViews>
    <sheetView zoomScale="70" zoomScaleNormal="70" workbookViewId="0" topLeftCell="A1">
      <selection activeCell="A1" sqref="A1"/>
    </sheetView>
  </sheetViews>
  <sheetFormatPr defaultColWidth="11.5546875" defaultRowHeight="15"/>
  <cols>
    <col min="1" max="1" width="7.77734375" style="2" customWidth="1"/>
    <col min="2" max="4" width="6.77734375" style="2" customWidth="1"/>
    <col min="5" max="5" width="7.3359375" style="2" customWidth="1"/>
    <col min="6" max="8" width="6.77734375" style="2" customWidth="1"/>
    <col min="9" max="9" width="7.4453125" style="64" customWidth="1"/>
    <col min="16" max="16" width="11.5546875" style="36" customWidth="1"/>
    <col min="17" max="17" width="6.77734375" style="2" customWidth="1"/>
    <col min="26" max="32" width="6.77734375" style="2" customWidth="1"/>
    <col min="33" max="33" width="11.5546875" style="2" customWidth="1" collapsed="1"/>
    <col min="37" max="16384" width="11.5546875" style="2" customWidth="1"/>
  </cols>
  <sheetData>
    <row r="1" spans="1:32" ht="19.5">
      <c r="A1" s="28"/>
      <c r="B1" s="352"/>
      <c r="C1" s="28"/>
      <c r="D1" s="28"/>
      <c r="E1" s="28"/>
      <c r="F1" s="28"/>
      <c r="G1" s="28"/>
      <c r="H1" s="28"/>
      <c r="I1" s="100"/>
      <c r="K1" s="52"/>
      <c r="L1" s="52"/>
      <c r="M1" s="52"/>
      <c r="N1" s="52"/>
      <c r="O1" s="52"/>
      <c r="Q1" s="1"/>
      <c r="Z1" s="62"/>
      <c r="AA1"/>
      <c r="AB1"/>
      <c r="AC1"/>
      <c r="AD1"/>
      <c r="AE1"/>
      <c r="AF1"/>
    </row>
    <row r="2" spans="1:32" ht="25.5">
      <c r="A2" s="124" t="s">
        <v>51</v>
      </c>
      <c r="B2" s="353"/>
      <c r="C2" s="124"/>
      <c r="D2" s="124"/>
      <c r="E2" s="124"/>
      <c r="F2" s="124"/>
      <c r="I2" s="101"/>
      <c r="K2" s="53"/>
      <c r="L2" s="53"/>
      <c r="M2" s="53"/>
      <c r="N2" s="53"/>
      <c r="O2" s="53"/>
      <c r="Z2" s="36"/>
      <c r="AA2" s="36"/>
      <c r="AB2" s="36"/>
      <c r="AC2" s="36"/>
      <c r="AD2" s="36"/>
      <c r="AE2" s="36"/>
      <c r="AF2" s="36"/>
    </row>
    <row r="3" spans="1:32" ht="15">
      <c r="A3" s="5"/>
      <c r="B3" s="17"/>
      <c r="I3" s="101"/>
      <c r="K3" s="53"/>
      <c r="L3" s="53"/>
      <c r="M3" s="53"/>
      <c r="N3" s="53"/>
      <c r="O3" s="53"/>
      <c r="Z3" s="36"/>
      <c r="AA3" s="36"/>
      <c r="AB3" s="36"/>
      <c r="AC3" s="36"/>
      <c r="AD3" s="36"/>
      <c r="AE3" s="36"/>
      <c r="AF3" s="36"/>
    </row>
    <row r="4" spans="1:32" ht="15">
      <c r="A4" s="5"/>
      <c r="B4" s="5"/>
      <c r="D4" s="5"/>
      <c r="E4" s="5"/>
      <c r="G4" s="5"/>
      <c r="H4" s="5"/>
      <c r="I4" s="101"/>
      <c r="K4" s="53"/>
      <c r="L4" s="53"/>
      <c r="M4" s="53"/>
      <c r="N4" s="53"/>
      <c r="O4" s="53"/>
      <c r="Z4" s="36"/>
      <c r="AA4" s="36"/>
      <c r="AB4" s="36"/>
      <c r="AC4" s="36"/>
      <c r="AD4" s="36"/>
      <c r="AE4" s="36"/>
      <c r="AF4" s="36"/>
    </row>
    <row r="5" spans="1:32" ht="15">
      <c r="A5" s="6"/>
      <c r="B5" s="7"/>
      <c r="C5" s="7"/>
      <c r="D5" s="9"/>
      <c r="G5" s="6"/>
      <c r="I5" s="101"/>
      <c r="K5" s="53"/>
      <c r="L5" s="53"/>
      <c r="M5" s="53"/>
      <c r="N5" s="53"/>
      <c r="O5" s="53"/>
      <c r="Z5" s="36"/>
      <c r="AA5" s="36"/>
      <c r="AB5" s="36"/>
      <c r="AC5" s="36"/>
      <c r="AD5" s="36"/>
      <c r="AE5" s="36"/>
      <c r="AF5" s="36"/>
    </row>
    <row r="6" spans="1:32" ht="12" customHeight="1">
      <c r="A6" s="10"/>
      <c r="B6" s="7"/>
      <c r="C6" s="31"/>
      <c r="I6" s="101"/>
      <c r="K6" s="53"/>
      <c r="L6" s="53"/>
      <c r="M6" s="53"/>
      <c r="N6" s="53"/>
      <c r="O6" s="53"/>
      <c r="Z6" s="36"/>
      <c r="AA6" s="36"/>
      <c r="AB6" s="36"/>
      <c r="AC6" s="36"/>
      <c r="AD6" s="36"/>
      <c r="AE6" s="36"/>
      <c r="AF6" s="36"/>
    </row>
    <row r="7" spans="1:32" ht="15">
      <c r="A7" s="6"/>
      <c r="B7" s="6"/>
      <c r="C7" s="6"/>
      <c r="I7" s="101"/>
      <c r="K7" s="53"/>
      <c r="L7" s="53"/>
      <c r="M7" s="53"/>
      <c r="N7" s="53"/>
      <c r="O7" s="53"/>
      <c r="Z7" s="36"/>
      <c r="AA7" s="36"/>
      <c r="AB7" s="36"/>
      <c r="AC7" s="36"/>
      <c r="AD7" s="36"/>
      <c r="AE7" s="36"/>
      <c r="AF7" s="36"/>
    </row>
    <row r="8" spans="1:32" ht="15">
      <c r="A8" s="6"/>
      <c r="B8" s="8"/>
      <c r="C8" s="8"/>
      <c r="F8" s="5"/>
      <c r="I8" s="101"/>
      <c r="K8" s="53"/>
      <c r="L8" s="53"/>
      <c r="M8" s="53"/>
      <c r="N8" s="53"/>
      <c r="O8" s="53"/>
      <c r="Z8" s="36"/>
      <c r="AA8" s="36"/>
      <c r="AB8" s="36"/>
      <c r="AC8" s="36"/>
      <c r="AD8" s="36"/>
      <c r="AE8" s="36"/>
      <c r="AF8" s="36"/>
    </row>
    <row r="9" spans="1:32" ht="15">
      <c r="A9" s="5"/>
      <c r="I9" s="101"/>
      <c r="K9" s="53"/>
      <c r="L9" s="53"/>
      <c r="M9" s="53"/>
      <c r="N9" s="53"/>
      <c r="O9" s="53"/>
      <c r="Z9" s="36"/>
      <c r="AA9" s="36"/>
      <c r="AB9" s="36"/>
      <c r="AC9" s="36"/>
      <c r="AD9" s="36"/>
      <c r="AE9" s="36"/>
      <c r="AF9" s="36"/>
    </row>
    <row r="10" spans="1:32" ht="19.5">
      <c r="A10" s="52" t="s">
        <v>31</v>
      </c>
      <c r="E10" s="5"/>
      <c r="I10" s="101"/>
      <c r="K10" s="53"/>
      <c r="L10" s="53"/>
      <c r="M10" s="53"/>
      <c r="N10" s="53"/>
      <c r="O10" s="53"/>
      <c r="Q10" s="5"/>
      <c r="Z10" s="36"/>
      <c r="AA10" s="36"/>
      <c r="AB10" s="36"/>
      <c r="AC10" s="36"/>
      <c r="AD10" s="36"/>
      <c r="AE10" s="36"/>
      <c r="AF10" s="36"/>
    </row>
    <row r="11" spans="1:32" ht="15">
      <c r="A11" s="119" t="s">
        <v>29</v>
      </c>
      <c r="E11" s="48"/>
      <c r="I11" s="101"/>
      <c r="J11" s="118" t="s">
        <v>36</v>
      </c>
      <c r="K11" s="53"/>
      <c r="L11" s="53"/>
      <c r="M11" s="53"/>
      <c r="N11" s="53"/>
      <c r="O11" s="53"/>
      <c r="Z11"/>
      <c r="AA11"/>
      <c r="AB11"/>
      <c r="AC11"/>
      <c r="AD11"/>
      <c r="AE11"/>
      <c r="AF11"/>
    </row>
    <row r="12" spans="1:32" ht="15">
      <c r="A12" s="32"/>
      <c r="B12" s="32"/>
      <c r="I12" s="101"/>
      <c r="J12" s="53"/>
      <c r="K12" s="53"/>
      <c r="L12" s="53"/>
      <c r="M12" s="53"/>
      <c r="N12" s="53"/>
      <c r="O12" s="53"/>
      <c r="Z12" s="36"/>
      <c r="AA12" s="36"/>
      <c r="AB12" s="36"/>
      <c r="AC12" s="36"/>
      <c r="AD12" s="36"/>
      <c r="AE12" s="36"/>
      <c r="AF12" s="36"/>
    </row>
    <row r="13" spans="9:32" ht="15">
      <c r="I13" s="101"/>
      <c r="J13" s="53"/>
      <c r="K13" s="53"/>
      <c r="L13" s="53"/>
      <c r="M13" s="53"/>
      <c r="N13" s="53"/>
      <c r="O13" s="53"/>
      <c r="Z13" s="36"/>
      <c r="AA13" s="36"/>
      <c r="AB13" s="36"/>
      <c r="AC13" s="36"/>
      <c r="AD13" s="36"/>
      <c r="AE13" s="36"/>
      <c r="AF13" s="36"/>
    </row>
    <row r="14" spans="9:32" ht="15">
      <c r="I14" s="101"/>
      <c r="Q14" s="2" t="s">
        <v>32</v>
      </c>
      <c r="R14" s="2"/>
      <c r="S14" s="2"/>
      <c r="T14" s="2"/>
      <c r="U14" s="2"/>
      <c r="V14" s="2"/>
      <c r="W14" s="2"/>
      <c r="Z14" s="36"/>
      <c r="AA14" s="36"/>
      <c r="AB14" s="36"/>
      <c r="AC14" s="36"/>
      <c r="AD14" s="36"/>
      <c r="AE14" s="36"/>
      <c r="AF14" s="36"/>
    </row>
    <row r="15" spans="1:32" ht="15.75">
      <c r="A15" s="54" t="s">
        <v>0</v>
      </c>
      <c r="B15" s="55" t="s">
        <v>1</v>
      </c>
      <c r="C15" s="53"/>
      <c r="D15" s="53"/>
      <c r="E15" s="53"/>
      <c r="F15" s="53"/>
      <c r="G15" s="56"/>
      <c r="H15" s="36"/>
      <c r="I15" s="102" t="s">
        <v>0</v>
      </c>
      <c r="J15" s="55" t="s">
        <v>1</v>
      </c>
      <c r="K15" s="53"/>
      <c r="L15" s="53"/>
      <c r="M15" s="53"/>
      <c r="N15" s="53"/>
      <c r="O15" s="56"/>
      <c r="Q15" s="2" t="str">
        <f>+A15</f>
        <v>125 Hz</v>
      </c>
      <c r="R15" s="2" t="str">
        <f aca="true" t="shared" si="0" ref="R15:W16">+B15</f>
        <v>octave</v>
      </c>
      <c r="S15" s="2"/>
      <c r="T15" s="2"/>
      <c r="U15" s="2"/>
      <c r="V15" s="2"/>
      <c r="W15" s="2"/>
      <c r="Z15" s="36"/>
      <c r="AA15" s="36"/>
      <c r="AB15" s="36"/>
      <c r="AC15" s="36"/>
      <c r="AD15" s="36"/>
      <c r="AE15" s="36"/>
      <c r="AF15" s="36"/>
    </row>
    <row r="16" spans="1:33" ht="15">
      <c r="A16" s="57"/>
      <c r="B16" s="58" t="s">
        <v>2</v>
      </c>
      <c r="C16" s="58" t="s">
        <v>3</v>
      </c>
      <c r="D16" s="58" t="s">
        <v>4</v>
      </c>
      <c r="E16" s="58" t="s">
        <v>5</v>
      </c>
      <c r="F16" s="58" t="s">
        <v>6</v>
      </c>
      <c r="G16" s="59" t="s">
        <v>7</v>
      </c>
      <c r="H16" s="36"/>
      <c r="I16" s="103"/>
      <c r="J16" s="58" t="s">
        <v>2</v>
      </c>
      <c r="K16" s="58" t="s">
        <v>3</v>
      </c>
      <c r="L16" s="58" t="s">
        <v>4</v>
      </c>
      <c r="M16" s="58" t="s">
        <v>5</v>
      </c>
      <c r="N16" s="58" t="s">
        <v>6</v>
      </c>
      <c r="O16" s="59" t="s">
        <v>7</v>
      </c>
      <c r="R16" s="2" t="str">
        <f t="shared" si="0"/>
        <v>S1R1</v>
      </c>
      <c r="S16" s="2" t="str">
        <f t="shared" si="0"/>
        <v>S1R2</v>
      </c>
      <c r="T16" s="2" t="str">
        <f t="shared" si="0"/>
        <v>S1R3</v>
      </c>
      <c r="U16" s="2" t="str">
        <f t="shared" si="0"/>
        <v>S2R1</v>
      </c>
      <c r="V16" s="2" t="str">
        <f t="shared" si="0"/>
        <v>S2R2</v>
      </c>
      <c r="W16" s="2" t="str">
        <f t="shared" si="0"/>
        <v>S2R3</v>
      </c>
      <c r="Z16" s="36"/>
      <c r="AA16" s="36"/>
      <c r="AB16" s="36"/>
      <c r="AC16" s="36"/>
      <c r="AD16" s="36"/>
      <c r="AE16" s="36"/>
      <c r="AF16" s="36"/>
      <c r="AG16"/>
    </row>
    <row r="17" spans="1:33" ht="15">
      <c r="A17" s="60" t="s">
        <v>8</v>
      </c>
      <c r="B17" s="68">
        <v>0.9580000000000002</v>
      </c>
      <c r="C17" s="68">
        <v>0.9353333333333333</v>
      </c>
      <c r="D17" s="68">
        <v>0.8593333333333334</v>
      </c>
      <c r="E17" s="68">
        <v>0.9059999999999999</v>
      </c>
      <c r="F17" s="68">
        <v>0.9</v>
      </c>
      <c r="G17" s="68">
        <v>0.9640000000000001</v>
      </c>
      <c r="H17" s="36">
        <f>AVERAGE(B17:G17)</f>
        <v>0.9204444444444446</v>
      </c>
      <c r="I17" s="104" t="s">
        <v>8</v>
      </c>
      <c r="J17" s="36">
        <v>0.9039999999999999</v>
      </c>
      <c r="K17" s="36">
        <v>0.8406666666666667</v>
      </c>
      <c r="L17" s="36">
        <v>0.7793333333333334</v>
      </c>
      <c r="M17" s="36">
        <v>0.8093333333333333</v>
      </c>
      <c r="N17" s="36">
        <v>0.726</v>
      </c>
      <c r="O17" s="36">
        <v>0.9273333333333333</v>
      </c>
      <c r="P17" s="36">
        <f>AVERAGE(J17:O17)</f>
        <v>0.831111111111111</v>
      </c>
      <c r="Q17" s="2" t="str">
        <f aca="true" t="shared" si="1" ref="Q17:Q25">+A17</f>
        <v>T30/s</v>
      </c>
      <c r="R17" s="36">
        <f>+B17-J17</f>
        <v>0.05400000000000027</v>
      </c>
      <c r="S17" s="36">
        <f aca="true" t="shared" si="2" ref="S17:W25">+C17-K17</f>
        <v>0.09466666666666668</v>
      </c>
      <c r="T17" s="36">
        <f t="shared" si="2"/>
        <v>0.07999999999999996</v>
      </c>
      <c r="U17" s="36">
        <f t="shared" si="2"/>
        <v>0.09666666666666657</v>
      </c>
      <c r="V17" s="36">
        <f t="shared" si="2"/>
        <v>0.17400000000000004</v>
      </c>
      <c r="W17" s="36">
        <f t="shared" si="2"/>
        <v>0.036666666666666736</v>
      </c>
      <c r="Z17" s="36"/>
      <c r="AA17" s="36"/>
      <c r="AB17" s="36"/>
      <c r="AC17" s="36"/>
      <c r="AD17" s="36"/>
      <c r="AE17" s="36"/>
      <c r="AF17" s="36"/>
      <c r="AG17" s="16"/>
    </row>
    <row r="18" spans="1:33" ht="15">
      <c r="A18" s="60" t="s">
        <v>9</v>
      </c>
      <c r="B18" s="36">
        <v>0.516</v>
      </c>
      <c r="C18" s="36">
        <v>0.89</v>
      </c>
      <c r="D18" s="36">
        <v>0.9286666666666668</v>
      </c>
      <c r="E18" s="36">
        <v>0.9259999999999999</v>
      </c>
      <c r="F18" s="36">
        <v>0.732</v>
      </c>
      <c r="G18" s="36">
        <v>0.842</v>
      </c>
      <c r="H18" s="36">
        <f aca="true" t="shared" si="3" ref="H18:H25">AVERAGE(B18:G18)</f>
        <v>0.8057777777777778</v>
      </c>
      <c r="I18" s="105" t="s">
        <v>9</v>
      </c>
      <c r="J18" s="36">
        <v>0.4246666666666667</v>
      </c>
      <c r="K18" s="36">
        <v>0.8433333333333334</v>
      </c>
      <c r="L18" s="36">
        <v>0.6453333333333333</v>
      </c>
      <c r="M18" s="36">
        <v>0.8393333333333333</v>
      </c>
      <c r="N18" s="36">
        <v>0.5533333333333333</v>
      </c>
      <c r="O18" s="36">
        <v>0.6993333333333333</v>
      </c>
      <c r="P18" s="36">
        <f aca="true" t="shared" si="4" ref="P18:P25">AVERAGE(J18:O18)</f>
        <v>0.6675555555555555</v>
      </c>
      <c r="Q18" s="2" t="str">
        <f t="shared" si="1"/>
        <v>EDT/s</v>
      </c>
      <c r="R18" s="36">
        <f aca="true" t="shared" si="5" ref="R18:R25">+B18-J18</f>
        <v>0.09133333333333332</v>
      </c>
      <c r="S18" s="36">
        <f t="shared" si="2"/>
        <v>0.046666666666666634</v>
      </c>
      <c r="T18" s="36">
        <f t="shared" si="2"/>
        <v>0.28333333333333344</v>
      </c>
      <c r="U18" s="36">
        <f t="shared" si="2"/>
        <v>0.08666666666666667</v>
      </c>
      <c r="V18" s="36">
        <f t="shared" si="2"/>
        <v>0.17866666666666664</v>
      </c>
      <c r="W18" s="36">
        <f t="shared" si="2"/>
        <v>0.14266666666666672</v>
      </c>
      <c r="Z18" s="36"/>
      <c r="AA18" s="36"/>
      <c r="AB18" s="36"/>
      <c r="AC18" s="36"/>
      <c r="AD18" s="36"/>
      <c r="AE18" s="36"/>
      <c r="AF18" s="36"/>
      <c r="AG18" s="16"/>
    </row>
    <row r="19" spans="1:33" ht="15">
      <c r="A19" s="60" t="s">
        <v>10</v>
      </c>
      <c r="B19" s="36">
        <v>71.5252</v>
      </c>
      <c r="C19" s="36">
        <v>42.62226666666667</v>
      </c>
      <c r="D19" s="36">
        <v>62.792466666666655</v>
      </c>
      <c r="E19" s="36">
        <v>58.857533333333336</v>
      </c>
      <c r="F19" s="36">
        <v>55.52426666666666</v>
      </c>
      <c r="G19" s="36">
        <v>48.23413333333333</v>
      </c>
      <c r="H19" s="36">
        <f t="shared" si="3"/>
        <v>56.59264444444444</v>
      </c>
      <c r="I19" s="105" t="s">
        <v>10</v>
      </c>
      <c r="J19" s="36">
        <v>78.42026666666666</v>
      </c>
      <c r="K19" s="36">
        <v>44.275999999999996</v>
      </c>
      <c r="L19" s="36">
        <v>71.52873333333335</v>
      </c>
      <c r="M19" s="36">
        <v>64.0192</v>
      </c>
      <c r="N19" s="36">
        <v>60.63693333333333</v>
      </c>
      <c r="O19" s="36">
        <v>51.47573333333334</v>
      </c>
      <c r="P19" s="36">
        <f t="shared" si="4"/>
        <v>61.72614444444445</v>
      </c>
      <c r="Q19" s="2" t="str">
        <f t="shared" si="1"/>
        <v>D/%</v>
      </c>
      <c r="R19" s="36">
        <f t="shared" si="5"/>
        <v>-6.895066666666665</v>
      </c>
      <c r="S19" s="36">
        <f t="shared" si="2"/>
        <v>-1.653733333333328</v>
      </c>
      <c r="T19" s="36">
        <f t="shared" si="2"/>
        <v>-8.736266666666694</v>
      </c>
      <c r="U19" s="36">
        <f t="shared" si="2"/>
        <v>-5.161666666666662</v>
      </c>
      <c r="V19" s="36">
        <f t="shared" si="2"/>
        <v>-5.112666666666669</v>
      </c>
      <c r="W19" s="36">
        <f t="shared" si="2"/>
        <v>-3.2416000000000054</v>
      </c>
      <c r="Z19" s="36"/>
      <c r="AA19" s="36"/>
      <c r="AB19" s="36"/>
      <c r="AC19" s="36"/>
      <c r="AD19" s="36"/>
      <c r="AE19" s="36"/>
      <c r="AF19" s="36"/>
      <c r="AG19" s="16"/>
    </row>
    <row r="20" spans="1:33" ht="15">
      <c r="A20" s="60" t="s">
        <v>11</v>
      </c>
      <c r="B20" s="36">
        <v>8.394896303599564</v>
      </c>
      <c r="C20" s="36">
        <v>2.595771766841366</v>
      </c>
      <c r="D20" s="36">
        <v>5.213265322509324</v>
      </c>
      <c r="E20" s="36">
        <v>4.320260940118288</v>
      </c>
      <c r="F20" s="36">
        <v>6.157530630753861</v>
      </c>
      <c r="G20" s="36">
        <v>3.6293716844074297</v>
      </c>
      <c r="H20" s="36">
        <f t="shared" si="3"/>
        <v>5.0518494413716395</v>
      </c>
      <c r="I20" s="105" t="s">
        <v>11</v>
      </c>
      <c r="J20" s="36">
        <v>9.959641555428428</v>
      </c>
      <c r="K20" s="36">
        <v>3.7437632388550846</v>
      </c>
      <c r="L20" s="36">
        <v>7.622877165334577</v>
      </c>
      <c r="M20" s="36">
        <v>5.2405103038552765</v>
      </c>
      <c r="N20" s="36">
        <v>8.436349809137768</v>
      </c>
      <c r="O20" s="36">
        <v>5.856860753313606</v>
      </c>
      <c r="P20" s="36">
        <f t="shared" si="4"/>
        <v>6.810000470987457</v>
      </c>
      <c r="Q20" s="2" t="str">
        <f t="shared" si="1"/>
        <v>C/dB</v>
      </c>
      <c r="R20" s="36">
        <f t="shared" si="5"/>
        <v>-1.5647452518288638</v>
      </c>
      <c r="S20" s="36">
        <f t="shared" si="2"/>
        <v>-1.1479914720137185</v>
      </c>
      <c r="T20" s="36">
        <f t="shared" si="2"/>
        <v>-2.409611842825253</v>
      </c>
      <c r="U20" s="36">
        <f t="shared" si="2"/>
        <v>-0.9202493637369882</v>
      </c>
      <c r="V20" s="36">
        <f t="shared" si="2"/>
        <v>-2.278819178383907</v>
      </c>
      <c r="W20" s="36">
        <f t="shared" si="2"/>
        <v>-2.2274890689061766</v>
      </c>
      <c r="Z20" s="36"/>
      <c r="AA20" s="36"/>
      <c r="AB20" s="36"/>
      <c r="AC20" s="36"/>
      <c r="AD20" s="36"/>
      <c r="AE20" s="36"/>
      <c r="AF20" s="36"/>
      <c r="AG20" s="16"/>
    </row>
    <row r="21" spans="1:33" ht="15">
      <c r="A21" s="60" t="s">
        <v>12</v>
      </c>
      <c r="B21" s="36">
        <v>50.64426666666667</v>
      </c>
      <c r="C21" s="36">
        <v>76.4006</v>
      </c>
      <c r="D21" s="36">
        <v>62.98320000000001</v>
      </c>
      <c r="E21" s="36">
        <v>66.68426666666666</v>
      </c>
      <c r="F21" s="36">
        <v>65.5912</v>
      </c>
      <c r="G21" s="36">
        <v>72.72153333333333</v>
      </c>
      <c r="H21" s="36">
        <f t="shared" si="3"/>
        <v>65.83751111111111</v>
      </c>
      <c r="I21" s="105" t="s">
        <v>12</v>
      </c>
      <c r="J21" s="36">
        <v>42.943</v>
      </c>
      <c r="K21" s="36">
        <v>68.6908</v>
      </c>
      <c r="L21" s="36">
        <v>51.496066666666664</v>
      </c>
      <c r="M21" s="36">
        <v>60.702200000000005</v>
      </c>
      <c r="N21" s="36">
        <v>57.13473333333334</v>
      </c>
      <c r="O21" s="36">
        <v>62.11446666666666</v>
      </c>
      <c r="P21" s="36">
        <f t="shared" si="4"/>
        <v>57.180211111111106</v>
      </c>
      <c r="Q21" s="2" t="str">
        <f t="shared" si="1"/>
        <v>TS/ms</v>
      </c>
      <c r="R21" s="36">
        <f t="shared" si="5"/>
        <v>7.701266666666669</v>
      </c>
      <c r="S21" s="36">
        <f t="shared" si="2"/>
        <v>7.709800000000001</v>
      </c>
      <c r="T21" s="36">
        <f t="shared" si="2"/>
        <v>11.487133333333347</v>
      </c>
      <c r="U21" s="36">
        <f t="shared" si="2"/>
        <v>5.982066666666654</v>
      </c>
      <c r="V21" s="36">
        <f t="shared" si="2"/>
        <v>8.456466666666664</v>
      </c>
      <c r="W21" s="36">
        <f t="shared" si="2"/>
        <v>10.607066666666668</v>
      </c>
      <c r="Z21"/>
      <c r="AA21"/>
      <c r="AB21"/>
      <c r="AC21"/>
      <c r="AD21"/>
      <c r="AE21"/>
      <c r="AF21"/>
      <c r="AG21" s="16"/>
    </row>
    <row r="22" spans="1:33" ht="15">
      <c r="A22" s="60" t="s">
        <v>13</v>
      </c>
      <c r="B22" s="36">
        <v>20.896128197869423</v>
      </c>
      <c r="C22" s="36">
        <v>17.437003983646143</v>
      </c>
      <c r="D22" s="36">
        <v>20.88354557596896</v>
      </c>
      <c r="E22" s="36">
        <v>19.346855592162704</v>
      </c>
      <c r="F22" s="36">
        <v>19.30663150287102</v>
      </c>
      <c r="G22" s="36">
        <v>16.78741767698237</v>
      </c>
      <c r="H22" s="36">
        <f t="shared" si="3"/>
        <v>19.109597088250105</v>
      </c>
      <c r="I22" s="105" t="s">
        <v>13</v>
      </c>
      <c r="J22" s="36">
        <v>19.758298135620997</v>
      </c>
      <c r="K22" s="36">
        <v>16.769992249152875</v>
      </c>
      <c r="L22" s="36">
        <v>18.545614587241573</v>
      </c>
      <c r="M22" s="36">
        <v>18.578267198815055</v>
      </c>
      <c r="N22" s="36">
        <v>19.271112516231142</v>
      </c>
      <c r="O22" s="36">
        <v>16.23343624909051</v>
      </c>
      <c r="P22" s="36">
        <f t="shared" si="4"/>
        <v>18.192786822692025</v>
      </c>
      <c r="Q22" s="2" t="str">
        <f t="shared" si="1"/>
        <v>G/dB</v>
      </c>
      <c r="R22" s="36">
        <f t="shared" si="5"/>
        <v>1.137830062248426</v>
      </c>
      <c r="S22" s="36">
        <f t="shared" si="2"/>
        <v>0.6670117344932684</v>
      </c>
      <c r="T22" s="36">
        <f t="shared" si="2"/>
        <v>2.3379309887273863</v>
      </c>
      <c r="U22" s="36">
        <f t="shared" si="2"/>
        <v>0.768588393347649</v>
      </c>
      <c r="V22" s="36">
        <f t="shared" si="2"/>
        <v>0.03551898663987885</v>
      </c>
      <c r="W22" s="36">
        <f t="shared" si="2"/>
        <v>0.5539814278918591</v>
      </c>
      <c r="Z22" s="36"/>
      <c r="AA22" s="36"/>
      <c r="AB22" s="36"/>
      <c r="AC22" s="36"/>
      <c r="AD22" s="36"/>
      <c r="AE22" s="36"/>
      <c r="AF22" s="36"/>
      <c r="AG22" s="16"/>
    </row>
    <row r="23" spans="1:32" ht="15">
      <c r="A23" s="15" t="s">
        <v>14</v>
      </c>
      <c r="B23" s="48">
        <v>12.046999999999999</v>
      </c>
      <c r="C23" s="48">
        <v>28.973333333333333</v>
      </c>
      <c r="D23" s="48">
        <v>13.504466666666668</v>
      </c>
      <c r="E23" s="48">
        <v>20.029333333333334</v>
      </c>
      <c r="F23" s="48">
        <v>25.200666666666667</v>
      </c>
      <c r="G23" s="89">
        <v>29.712</v>
      </c>
      <c r="H23" s="36">
        <f t="shared" si="3"/>
        <v>21.5778</v>
      </c>
      <c r="I23" s="106" t="s">
        <v>14</v>
      </c>
      <c r="J23" s="38">
        <v>10.841999999999999</v>
      </c>
      <c r="K23" s="38">
        <v>24.574333333333332</v>
      </c>
      <c r="L23" s="38">
        <v>13.107333333333335</v>
      </c>
      <c r="M23" s="38">
        <v>17.707333333333334</v>
      </c>
      <c r="N23" s="38">
        <v>21.968666666666667</v>
      </c>
      <c r="O23" s="90">
        <v>31.631</v>
      </c>
      <c r="P23" s="36">
        <f t="shared" si="4"/>
        <v>19.971777777777778</v>
      </c>
      <c r="Q23" s="2" t="str">
        <f t="shared" si="1"/>
        <v>LF/%</v>
      </c>
      <c r="R23" s="36">
        <f t="shared" si="5"/>
        <v>1.205</v>
      </c>
      <c r="S23" s="36">
        <f t="shared" si="2"/>
        <v>4.399000000000001</v>
      </c>
      <c r="T23" s="36">
        <f t="shared" si="2"/>
        <v>0.39713333333333267</v>
      </c>
      <c r="U23" s="36">
        <f t="shared" si="2"/>
        <v>2.321999999999999</v>
      </c>
      <c r="V23" s="36">
        <f t="shared" si="2"/>
        <v>3.2319999999999993</v>
      </c>
      <c r="W23" s="36">
        <f t="shared" si="2"/>
        <v>-1.9190000000000005</v>
      </c>
      <c r="Z23" s="36"/>
      <c r="AA23" s="36"/>
      <c r="AB23" s="36"/>
      <c r="AC23" s="36"/>
      <c r="AD23" s="36"/>
      <c r="AE23" s="36"/>
      <c r="AF23" s="36"/>
    </row>
    <row r="24" spans="1:32" ht="15">
      <c r="A24" s="15" t="s">
        <v>15</v>
      </c>
      <c r="B24" s="35">
        <v>22.114</v>
      </c>
      <c r="C24" s="86">
        <v>40.894666666666666</v>
      </c>
      <c r="D24" s="86">
        <v>21.459333333333333</v>
      </c>
      <c r="E24" s="86">
        <v>27.15833333333333</v>
      </c>
      <c r="F24" s="86">
        <v>34.63466666666667</v>
      </c>
      <c r="G24" s="34">
        <v>38.660666666666664</v>
      </c>
      <c r="H24" s="36">
        <f t="shared" si="3"/>
        <v>30.820277777777775</v>
      </c>
      <c r="I24" s="106" t="s">
        <v>15</v>
      </c>
      <c r="J24" s="22">
        <v>19.577</v>
      </c>
      <c r="K24" s="23">
        <v>37.11766666666667</v>
      </c>
      <c r="L24" s="23">
        <v>19.093</v>
      </c>
      <c r="M24" s="88">
        <v>25.439333333333334</v>
      </c>
      <c r="N24" s="88">
        <v>32.159</v>
      </c>
      <c r="O24" s="24">
        <v>41.483666666666664</v>
      </c>
      <c r="P24" s="36">
        <f t="shared" si="4"/>
        <v>29.144944444444448</v>
      </c>
      <c r="Q24" s="2" t="str">
        <f t="shared" si="1"/>
        <v>LFC/%</v>
      </c>
      <c r="R24" s="36">
        <f t="shared" si="5"/>
        <v>2.536999999999999</v>
      </c>
      <c r="S24" s="36">
        <f t="shared" si="2"/>
        <v>3.776999999999994</v>
      </c>
      <c r="T24" s="36">
        <f t="shared" si="2"/>
        <v>2.3663333333333334</v>
      </c>
      <c r="U24" s="36">
        <f t="shared" si="2"/>
        <v>1.7189999999999976</v>
      </c>
      <c r="V24" s="36">
        <f t="shared" si="2"/>
        <v>2.475666666666669</v>
      </c>
      <c r="W24" s="36">
        <f t="shared" si="2"/>
        <v>-2.8230000000000004</v>
      </c>
      <c r="Z24" s="36"/>
      <c r="AA24" s="36"/>
      <c r="AB24" s="36"/>
      <c r="AC24" s="36"/>
      <c r="AD24" s="36"/>
      <c r="AE24" s="36"/>
      <c r="AF24" s="36"/>
    </row>
    <row r="25" spans="1:32" ht="15">
      <c r="A25" s="61" t="s">
        <v>16</v>
      </c>
      <c r="B25" s="36">
        <v>0.9682679999999999</v>
      </c>
      <c r="C25" s="36">
        <v>0.9028933333333333</v>
      </c>
      <c r="D25" s="36">
        <v>0.9597066666666667</v>
      </c>
      <c r="E25" s="36">
        <v>0.92066</v>
      </c>
      <c r="F25" s="36">
        <v>0.91482</v>
      </c>
      <c r="G25" s="36">
        <v>0.8731133333333334</v>
      </c>
      <c r="H25" s="36">
        <f t="shared" si="3"/>
        <v>0.9232435555555555</v>
      </c>
      <c r="I25" s="107" t="s">
        <v>16</v>
      </c>
      <c r="J25" s="36">
        <v>0.9710133333333333</v>
      </c>
      <c r="K25" s="36">
        <v>0.9013333333333333</v>
      </c>
      <c r="L25" s="36">
        <v>0.9616333333333333</v>
      </c>
      <c r="M25" s="36">
        <v>0.9399</v>
      </c>
      <c r="N25" s="36">
        <v>0.9284666666666667</v>
      </c>
      <c r="O25" s="36">
        <v>0.8666933333333333</v>
      </c>
      <c r="P25" s="36">
        <f t="shared" si="4"/>
        <v>0.9281733333333334</v>
      </c>
      <c r="Q25" s="2" t="str">
        <f t="shared" si="1"/>
        <v>IACC</v>
      </c>
      <c r="R25" s="36">
        <f t="shared" si="5"/>
        <v>-0.0027453333333333774</v>
      </c>
      <c r="S25" s="36">
        <f t="shared" si="2"/>
        <v>0.0015600000000000058</v>
      </c>
      <c r="T25" s="36">
        <f t="shared" si="2"/>
        <v>-0.0019266666666666321</v>
      </c>
      <c r="U25" s="36">
        <f t="shared" si="2"/>
        <v>-0.019239999999999924</v>
      </c>
      <c r="V25" s="36">
        <f t="shared" si="2"/>
        <v>-0.013646666666666696</v>
      </c>
      <c r="W25" s="36">
        <f t="shared" si="2"/>
        <v>0.006420000000000092</v>
      </c>
      <c r="Z25" s="36"/>
      <c r="AA25" s="36"/>
      <c r="AB25" s="36"/>
      <c r="AC25" s="36"/>
      <c r="AD25" s="36"/>
      <c r="AE25" s="36"/>
      <c r="AF25" s="36"/>
    </row>
    <row r="26" spans="1:32" ht="15">
      <c r="A26"/>
      <c r="B26"/>
      <c r="C26"/>
      <c r="D26"/>
      <c r="E26"/>
      <c r="F26"/>
      <c r="G26"/>
      <c r="H26" s="36"/>
      <c r="I26" s="102"/>
      <c r="R26" s="2"/>
      <c r="S26" s="2"/>
      <c r="T26" s="2"/>
      <c r="U26" s="2"/>
      <c r="V26" s="2"/>
      <c r="W26" s="2"/>
      <c r="Z26" s="36"/>
      <c r="AA26" s="36"/>
      <c r="AB26" s="36"/>
      <c r="AC26" s="36"/>
      <c r="AD26" s="36"/>
      <c r="AE26" s="36"/>
      <c r="AF26" s="36"/>
    </row>
    <row r="27" spans="1:32" ht="15.75">
      <c r="A27" s="54" t="s">
        <v>17</v>
      </c>
      <c r="B27" s="55" t="s">
        <v>1</v>
      </c>
      <c r="C27" s="53"/>
      <c r="D27" s="53"/>
      <c r="E27" s="53"/>
      <c r="F27" s="53"/>
      <c r="G27" s="56"/>
      <c r="H27" s="36"/>
      <c r="I27" s="102" t="s">
        <v>17</v>
      </c>
      <c r="J27" s="55" t="s">
        <v>1</v>
      </c>
      <c r="K27" s="53"/>
      <c r="L27" s="53"/>
      <c r="M27" s="53"/>
      <c r="N27" s="53"/>
      <c r="O27" s="56"/>
      <c r="Q27" s="2" t="str">
        <f>+A27</f>
        <v>250 Hz</v>
      </c>
      <c r="R27" s="2" t="str">
        <f>+B27</f>
        <v>octave</v>
      </c>
      <c r="S27" s="2"/>
      <c r="T27" s="2"/>
      <c r="U27" s="2"/>
      <c r="V27" s="2"/>
      <c r="W27" s="2"/>
      <c r="Z27" s="36"/>
      <c r="AA27" s="36"/>
      <c r="AB27" s="36"/>
      <c r="AC27" s="36"/>
      <c r="AD27" s="36"/>
      <c r="AE27" s="36"/>
      <c r="AF27" s="36"/>
    </row>
    <row r="28" spans="1:32" ht="15">
      <c r="A28" s="57"/>
      <c r="B28" s="58" t="s">
        <v>2</v>
      </c>
      <c r="C28" s="58" t="s">
        <v>3</v>
      </c>
      <c r="D28" s="58" t="s">
        <v>4</v>
      </c>
      <c r="E28" s="58" t="s">
        <v>5</v>
      </c>
      <c r="F28" s="58" t="s">
        <v>6</v>
      </c>
      <c r="G28" s="59" t="s">
        <v>7</v>
      </c>
      <c r="H28" s="36"/>
      <c r="I28" s="103"/>
      <c r="J28" s="58" t="s">
        <v>2</v>
      </c>
      <c r="K28" s="58" t="s">
        <v>3</v>
      </c>
      <c r="L28" s="58" t="s">
        <v>4</v>
      </c>
      <c r="M28" s="58" t="s">
        <v>5</v>
      </c>
      <c r="N28" s="58" t="s">
        <v>6</v>
      </c>
      <c r="O28" s="59" t="s">
        <v>7</v>
      </c>
      <c r="R28" s="2" t="str">
        <f aca="true" t="shared" si="6" ref="R28:W28">+B28</f>
        <v>S1R1</v>
      </c>
      <c r="S28" s="2" t="str">
        <f t="shared" si="6"/>
        <v>S1R2</v>
      </c>
      <c r="T28" s="2" t="str">
        <f t="shared" si="6"/>
        <v>S1R3</v>
      </c>
      <c r="U28" s="2" t="str">
        <f t="shared" si="6"/>
        <v>S2R1</v>
      </c>
      <c r="V28" s="2" t="str">
        <f t="shared" si="6"/>
        <v>S2R2</v>
      </c>
      <c r="W28" s="2" t="str">
        <f t="shared" si="6"/>
        <v>S2R3</v>
      </c>
      <c r="Z28" s="36"/>
      <c r="AA28" s="36"/>
      <c r="AB28" s="36"/>
      <c r="AC28" s="36"/>
      <c r="AD28" s="36"/>
      <c r="AE28" s="36"/>
      <c r="AF28" s="36"/>
    </row>
    <row r="29" spans="1:32" ht="15">
      <c r="A29" s="60" t="s">
        <v>8</v>
      </c>
      <c r="B29">
        <v>1.068</v>
      </c>
      <c r="C29">
        <v>1.1226666666666667</v>
      </c>
      <c r="D29">
        <v>1.0773333333333333</v>
      </c>
      <c r="E29">
        <v>1.1153333333333333</v>
      </c>
      <c r="F29">
        <v>1.036</v>
      </c>
      <c r="G29">
        <v>1.0293333333333334</v>
      </c>
      <c r="H29" s="36">
        <f>AVERAGE(B29:G29)</f>
        <v>1.074777777777778</v>
      </c>
      <c r="I29" s="108" t="s">
        <v>8</v>
      </c>
      <c r="J29" s="36">
        <v>0.9966666666666667</v>
      </c>
      <c r="K29" s="36">
        <v>0.8206666666666667</v>
      </c>
      <c r="L29" s="36">
        <v>0.8706666666666667</v>
      </c>
      <c r="M29" s="36">
        <v>0.922</v>
      </c>
      <c r="N29" s="36">
        <v>0.8646666666666667</v>
      </c>
      <c r="O29" s="36">
        <v>0.8286666666666667</v>
      </c>
      <c r="P29" s="36">
        <f>AVERAGE(J29:O29)</f>
        <v>0.883888888888889</v>
      </c>
      <c r="Q29" s="2" t="str">
        <f aca="true" t="shared" si="7" ref="Q29:Q37">+A29</f>
        <v>T30/s</v>
      </c>
      <c r="R29" s="36">
        <f>+B29-J29</f>
        <v>0.07133333333333336</v>
      </c>
      <c r="S29" s="36">
        <f aca="true" t="shared" si="8" ref="S29:W37">+C29-K29</f>
        <v>0.30200000000000005</v>
      </c>
      <c r="T29" s="36">
        <f t="shared" si="8"/>
        <v>0.20666666666666655</v>
      </c>
      <c r="U29" s="36">
        <f t="shared" si="8"/>
        <v>0.19333333333333325</v>
      </c>
      <c r="V29" s="36">
        <f t="shared" si="8"/>
        <v>0.17133333333333334</v>
      </c>
      <c r="W29" s="36">
        <f t="shared" si="8"/>
        <v>0.20066666666666677</v>
      </c>
      <c r="Z29" s="36"/>
      <c r="AA29" s="36"/>
      <c r="AB29" s="36"/>
      <c r="AC29" s="36"/>
      <c r="AD29" s="36"/>
      <c r="AE29" s="36"/>
      <c r="AF29" s="36"/>
    </row>
    <row r="30" spans="1:32" ht="15">
      <c r="A30" s="60" t="s">
        <v>9</v>
      </c>
      <c r="B30">
        <v>1.2053333333333331</v>
      </c>
      <c r="C30">
        <v>1.0426666666666669</v>
      </c>
      <c r="D30">
        <v>1.1586666666666665</v>
      </c>
      <c r="E30">
        <v>1.0219999999999998</v>
      </c>
      <c r="F30">
        <v>1.0753333333333333</v>
      </c>
      <c r="G30">
        <v>0.932</v>
      </c>
      <c r="H30" s="36">
        <f>AVERAGE(B30:G30)</f>
        <v>1.0726666666666667</v>
      </c>
      <c r="I30" s="108" t="s">
        <v>9</v>
      </c>
      <c r="J30" s="36">
        <v>0.756</v>
      </c>
      <c r="K30" s="36">
        <v>0.882</v>
      </c>
      <c r="L30" s="36">
        <v>0.8320000000000001</v>
      </c>
      <c r="M30" s="36">
        <v>0.794</v>
      </c>
      <c r="N30" s="36">
        <v>0.6973333333333332</v>
      </c>
      <c r="O30" s="36">
        <v>0.666</v>
      </c>
      <c r="P30" s="36">
        <f>AVERAGE(J30:O30)</f>
        <v>0.7712222222222223</v>
      </c>
      <c r="Q30" s="2" t="str">
        <f t="shared" si="7"/>
        <v>EDT/s</v>
      </c>
      <c r="R30" s="36">
        <f aca="true" t="shared" si="9" ref="R30:R37">+B30-J30</f>
        <v>0.44933333333333314</v>
      </c>
      <c r="S30" s="36">
        <f t="shared" si="8"/>
        <v>0.16066666666666685</v>
      </c>
      <c r="T30" s="36">
        <f t="shared" si="8"/>
        <v>0.32666666666666644</v>
      </c>
      <c r="U30" s="36">
        <f t="shared" si="8"/>
        <v>0.22799999999999976</v>
      </c>
      <c r="V30" s="36">
        <f t="shared" si="8"/>
        <v>0.378</v>
      </c>
      <c r="W30" s="36">
        <f t="shared" si="8"/>
        <v>0.266</v>
      </c>
      <c r="Z30" s="36"/>
      <c r="AA30" s="36"/>
      <c r="AB30" s="36"/>
      <c r="AC30" s="36"/>
      <c r="AD30" s="36"/>
      <c r="AE30" s="36"/>
      <c r="AF30" s="36"/>
    </row>
    <row r="31" spans="1:32" ht="15">
      <c r="A31" s="60" t="s">
        <v>10</v>
      </c>
      <c r="B31">
        <v>51.90946666666666</v>
      </c>
      <c r="C31">
        <v>54.25086666666666</v>
      </c>
      <c r="D31">
        <v>47.689600000000006</v>
      </c>
      <c r="E31">
        <v>57.09159999999999</v>
      </c>
      <c r="F31">
        <v>41.8486</v>
      </c>
      <c r="G31">
        <v>54.17793333333334</v>
      </c>
      <c r="H31" s="36">
        <f aca="true" t="shared" si="10" ref="H31:H37">AVERAGE(B31:G31)</f>
        <v>51.161344444444445</v>
      </c>
      <c r="I31" s="108" t="s">
        <v>10</v>
      </c>
      <c r="J31" s="36">
        <v>64.87480000000001</v>
      </c>
      <c r="K31" s="36">
        <v>66.27733333333333</v>
      </c>
      <c r="L31" s="36">
        <v>59.0376</v>
      </c>
      <c r="M31" s="36">
        <v>64.4834</v>
      </c>
      <c r="N31" s="36">
        <v>59.50233333333333</v>
      </c>
      <c r="O31" s="36">
        <v>66.68679999999999</v>
      </c>
      <c r="P31" s="36">
        <f aca="true" t="shared" si="11" ref="P31:P37">AVERAGE(J31:O31)</f>
        <v>63.47704444444445</v>
      </c>
      <c r="Q31" s="2" t="str">
        <f t="shared" si="7"/>
        <v>D/%</v>
      </c>
      <c r="R31" s="36">
        <f t="shared" si="9"/>
        <v>-12.965333333333348</v>
      </c>
      <c r="S31" s="36">
        <f t="shared" si="8"/>
        <v>-12.026466666666671</v>
      </c>
      <c r="T31" s="36">
        <f t="shared" si="8"/>
        <v>-11.347999999999992</v>
      </c>
      <c r="U31" s="36">
        <f t="shared" si="8"/>
        <v>-7.391800000000011</v>
      </c>
      <c r="V31" s="36">
        <f t="shared" si="8"/>
        <v>-17.653733333333335</v>
      </c>
      <c r="W31" s="36">
        <f t="shared" si="8"/>
        <v>-12.508866666666648</v>
      </c>
      <c r="Z31"/>
      <c r="AA31"/>
      <c r="AB31"/>
      <c r="AC31"/>
      <c r="AD31"/>
      <c r="AE31"/>
      <c r="AF31"/>
    </row>
    <row r="32" spans="1:32" ht="15">
      <c r="A32" s="60" t="s">
        <v>11</v>
      </c>
      <c r="B32">
        <v>2.88168506044663</v>
      </c>
      <c r="C32">
        <v>2.665237830560931</v>
      </c>
      <c r="D32">
        <v>1.6051945248968376</v>
      </c>
      <c r="E32">
        <v>3.477676792639369</v>
      </c>
      <c r="F32">
        <v>1.767071642220212</v>
      </c>
      <c r="G32">
        <v>4.053098582182285</v>
      </c>
      <c r="H32" s="36">
        <f t="shared" si="10"/>
        <v>2.7416607388243777</v>
      </c>
      <c r="I32" s="108" t="s">
        <v>11</v>
      </c>
      <c r="J32" s="36">
        <v>5.692754955637207</v>
      </c>
      <c r="K32" s="36">
        <v>4.979370516956643</v>
      </c>
      <c r="L32" s="36">
        <v>4.199419603882035</v>
      </c>
      <c r="M32" s="36">
        <v>5.42746637620864</v>
      </c>
      <c r="N32" s="36">
        <v>5.336428952603548</v>
      </c>
      <c r="O32" s="36">
        <v>6.825585291309983</v>
      </c>
      <c r="P32" s="36">
        <f t="shared" si="11"/>
        <v>5.4101709494330095</v>
      </c>
      <c r="Q32" s="2" t="str">
        <f t="shared" si="7"/>
        <v>C/dB</v>
      </c>
      <c r="R32" s="36">
        <f t="shared" si="9"/>
        <v>-2.8110698951905766</v>
      </c>
      <c r="S32" s="36">
        <f t="shared" si="8"/>
        <v>-2.314132686395712</v>
      </c>
      <c r="T32" s="36">
        <f t="shared" si="8"/>
        <v>-2.5942250789851973</v>
      </c>
      <c r="U32" s="36">
        <f t="shared" si="8"/>
        <v>-1.9497895835692711</v>
      </c>
      <c r="V32" s="36">
        <f t="shared" si="8"/>
        <v>-3.569357310383336</v>
      </c>
      <c r="W32" s="36">
        <f t="shared" si="8"/>
        <v>-2.7724867091276977</v>
      </c>
      <c r="Z32" s="36"/>
      <c r="AA32" s="36"/>
      <c r="AB32" s="36"/>
      <c r="AC32" s="36"/>
      <c r="AD32" s="36"/>
      <c r="AE32" s="36"/>
      <c r="AF32" s="36"/>
    </row>
    <row r="33" spans="1:32" ht="15">
      <c r="A33" s="60" t="s">
        <v>12</v>
      </c>
      <c r="B33">
        <v>80.4672</v>
      </c>
      <c r="C33">
        <v>69.43846666666667</v>
      </c>
      <c r="D33">
        <v>86.64413333333333</v>
      </c>
      <c r="E33">
        <v>65.81213333333335</v>
      </c>
      <c r="F33">
        <v>82.8836</v>
      </c>
      <c r="G33">
        <v>67.00213333333333</v>
      </c>
      <c r="H33" s="36">
        <f t="shared" si="10"/>
        <v>75.37461111111112</v>
      </c>
      <c r="I33" s="108" t="s">
        <v>12</v>
      </c>
      <c r="J33" s="36">
        <v>56.35686666666667</v>
      </c>
      <c r="K33" s="36">
        <v>48.39373333333334</v>
      </c>
      <c r="L33" s="36">
        <v>63.0022</v>
      </c>
      <c r="M33" s="36">
        <v>49.188066666666664</v>
      </c>
      <c r="N33" s="36">
        <v>55.82533333333333</v>
      </c>
      <c r="O33" s="36">
        <v>46.84786666666667</v>
      </c>
      <c r="P33" s="36">
        <f t="shared" si="11"/>
        <v>53.26901111111112</v>
      </c>
      <c r="Q33" s="2" t="str">
        <f t="shared" si="7"/>
        <v>TS/ms</v>
      </c>
      <c r="R33" s="36">
        <f t="shared" si="9"/>
        <v>24.110333333333337</v>
      </c>
      <c r="S33" s="36">
        <f t="shared" si="8"/>
        <v>21.044733333333333</v>
      </c>
      <c r="T33" s="36">
        <f t="shared" si="8"/>
        <v>23.641933333333327</v>
      </c>
      <c r="U33" s="36">
        <f t="shared" si="8"/>
        <v>16.624066666666685</v>
      </c>
      <c r="V33" s="36">
        <f t="shared" si="8"/>
        <v>27.05826666666667</v>
      </c>
      <c r="W33" s="36">
        <f t="shared" si="8"/>
        <v>20.154266666666665</v>
      </c>
      <c r="Z33" s="36"/>
      <c r="AA33" s="36"/>
      <c r="AB33" s="36"/>
      <c r="AC33" s="36"/>
      <c r="AD33" s="36"/>
      <c r="AE33" s="36"/>
      <c r="AF33" s="36"/>
    </row>
    <row r="34" spans="1:32" ht="15">
      <c r="A34" s="60" t="s">
        <v>13</v>
      </c>
      <c r="B34">
        <v>18.556095620624784</v>
      </c>
      <c r="C34">
        <v>19.606377808710388</v>
      </c>
      <c r="D34">
        <v>18.552407819426012</v>
      </c>
      <c r="E34">
        <v>19.869904373969156</v>
      </c>
      <c r="F34">
        <v>18.911150717223848</v>
      </c>
      <c r="G34">
        <v>20.173156608765733</v>
      </c>
      <c r="H34" s="36">
        <f t="shared" si="10"/>
        <v>19.27818215811999</v>
      </c>
      <c r="I34" s="108" t="s">
        <v>13</v>
      </c>
      <c r="J34" s="36">
        <v>17.031439767027997</v>
      </c>
      <c r="K34" s="36">
        <v>18.29808418481671</v>
      </c>
      <c r="L34" s="36">
        <v>16.62954936725125</v>
      </c>
      <c r="M34" s="36">
        <v>18.737933124782607</v>
      </c>
      <c r="N34" s="36">
        <v>16.5378627793494</v>
      </c>
      <c r="O34" s="36">
        <v>18.901496156834543</v>
      </c>
      <c r="P34" s="36">
        <f t="shared" si="11"/>
        <v>17.689394230010418</v>
      </c>
      <c r="Q34" s="2" t="str">
        <f t="shared" si="7"/>
        <v>G/dB</v>
      </c>
      <c r="R34" s="36">
        <f t="shared" si="9"/>
        <v>1.5246558535967871</v>
      </c>
      <c r="S34" s="36">
        <f t="shared" si="8"/>
        <v>1.3082936238936789</v>
      </c>
      <c r="T34" s="36">
        <f t="shared" si="8"/>
        <v>1.9228584521747614</v>
      </c>
      <c r="U34" s="36">
        <f t="shared" si="8"/>
        <v>1.1319712491865488</v>
      </c>
      <c r="V34" s="36">
        <f t="shared" si="8"/>
        <v>2.373287937874448</v>
      </c>
      <c r="W34" s="36">
        <f t="shared" si="8"/>
        <v>1.27166045193119</v>
      </c>
      <c r="Z34" s="36"/>
      <c r="AA34" s="36"/>
      <c r="AB34" s="36"/>
      <c r="AC34" s="36"/>
      <c r="AD34" s="36"/>
      <c r="AE34" s="36"/>
      <c r="AF34" s="36"/>
    </row>
    <row r="35" spans="1:32" ht="15">
      <c r="A35" s="15" t="s">
        <v>14</v>
      </c>
      <c r="B35" s="48">
        <v>26.412000000000003</v>
      </c>
      <c r="C35" s="48">
        <v>18.059</v>
      </c>
      <c r="D35" s="48">
        <v>33.22166666666667</v>
      </c>
      <c r="E35" s="48">
        <v>21.51533333333333</v>
      </c>
      <c r="F35" s="48">
        <v>22.959666666666667</v>
      </c>
      <c r="G35" s="89">
        <v>20.432333333333332</v>
      </c>
      <c r="H35" s="36">
        <f t="shared" si="10"/>
        <v>23.766666666666666</v>
      </c>
      <c r="I35" s="109" t="s">
        <v>14</v>
      </c>
      <c r="J35" s="48">
        <v>15.624666666666668</v>
      </c>
      <c r="K35" s="48">
        <v>17.277</v>
      </c>
      <c r="L35" s="48">
        <v>23.721999999999998</v>
      </c>
      <c r="M35" s="48">
        <v>17.135</v>
      </c>
      <c r="N35" s="48">
        <v>22.449333333333332</v>
      </c>
      <c r="O35" s="89">
        <v>16.029</v>
      </c>
      <c r="P35" s="36">
        <f t="shared" si="11"/>
        <v>18.706166666666665</v>
      </c>
      <c r="Q35" s="2" t="str">
        <f t="shared" si="7"/>
        <v>LF/%</v>
      </c>
      <c r="R35" s="36">
        <f t="shared" si="9"/>
        <v>10.787333333333335</v>
      </c>
      <c r="S35" s="36">
        <f t="shared" si="8"/>
        <v>0.782</v>
      </c>
      <c r="T35" s="36">
        <f t="shared" si="8"/>
        <v>9.499666666666673</v>
      </c>
      <c r="U35" s="36">
        <f t="shared" si="8"/>
        <v>4.380333333333329</v>
      </c>
      <c r="V35" s="36">
        <f t="shared" si="8"/>
        <v>0.5103333333333353</v>
      </c>
      <c r="W35" s="36">
        <f t="shared" si="8"/>
        <v>4.403333333333332</v>
      </c>
      <c r="Z35" s="36"/>
      <c r="AA35" s="36"/>
      <c r="AB35" s="36"/>
      <c r="AC35" s="36"/>
      <c r="AD35" s="36"/>
      <c r="AE35" s="36"/>
      <c r="AF35" s="36"/>
    </row>
    <row r="36" spans="1:32" ht="15">
      <c r="A36" s="15" t="s">
        <v>15</v>
      </c>
      <c r="B36" s="35">
        <v>33.52533333333333</v>
      </c>
      <c r="C36" s="86">
        <v>24.558000000000003</v>
      </c>
      <c r="D36" s="86">
        <v>34.369</v>
      </c>
      <c r="E36" s="86">
        <v>21.875666666666664</v>
      </c>
      <c r="F36" s="86">
        <v>27.672666666666668</v>
      </c>
      <c r="G36" s="34">
        <v>23.588666666666665</v>
      </c>
      <c r="H36" s="36">
        <f t="shared" si="10"/>
        <v>27.59822222222222</v>
      </c>
      <c r="I36" s="109" t="s">
        <v>15</v>
      </c>
      <c r="J36" s="35">
        <v>19.861</v>
      </c>
      <c r="K36" s="33">
        <v>22.264</v>
      </c>
      <c r="L36" s="33">
        <v>28.876666666666665</v>
      </c>
      <c r="M36" s="86">
        <v>18.459</v>
      </c>
      <c r="N36" s="86">
        <v>26.742333333333335</v>
      </c>
      <c r="O36" s="34">
        <v>19.881666666666664</v>
      </c>
      <c r="P36" s="36">
        <f t="shared" si="11"/>
        <v>22.680777777777777</v>
      </c>
      <c r="Q36" s="2" t="str">
        <f t="shared" si="7"/>
        <v>LFC/%</v>
      </c>
      <c r="R36" s="36">
        <f t="shared" si="9"/>
        <v>13.664333333333328</v>
      </c>
      <c r="S36" s="36">
        <f t="shared" si="8"/>
        <v>2.294000000000004</v>
      </c>
      <c r="T36" s="36">
        <f t="shared" si="8"/>
        <v>5.492333333333335</v>
      </c>
      <c r="U36" s="36">
        <f t="shared" si="8"/>
        <v>3.4166666666666643</v>
      </c>
      <c r="V36" s="36">
        <f t="shared" si="8"/>
        <v>0.9303333333333335</v>
      </c>
      <c r="W36" s="36">
        <f t="shared" si="8"/>
        <v>3.7070000000000007</v>
      </c>
      <c r="Z36" s="36"/>
      <c r="AA36" s="36"/>
      <c r="AB36" s="36"/>
      <c r="AC36" s="36"/>
      <c r="AD36" s="36"/>
      <c r="AE36" s="36"/>
      <c r="AF36" s="36"/>
    </row>
    <row r="37" spans="1:32" ht="15">
      <c r="A37" s="61" t="s">
        <v>16</v>
      </c>
      <c r="B37">
        <v>0.65442</v>
      </c>
      <c r="C37">
        <v>0.74864</v>
      </c>
      <c r="D37">
        <v>0.6239</v>
      </c>
      <c r="E37">
        <v>0.7136133333333333</v>
      </c>
      <c r="F37">
        <v>0.6951466666666667</v>
      </c>
      <c r="G37">
        <v>0.7475933333333333</v>
      </c>
      <c r="H37" s="36">
        <f t="shared" si="10"/>
        <v>0.6972188888888889</v>
      </c>
      <c r="I37" s="108" t="s">
        <v>16</v>
      </c>
      <c r="J37" s="36">
        <v>0.7887199999999999</v>
      </c>
      <c r="K37" s="36">
        <v>0.7646866666666666</v>
      </c>
      <c r="L37" s="36">
        <v>0.7069599999999999</v>
      </c>
      <c r="M37" s="36">
        <v>0.7390066666666668</v>
      </c>
      <c r="N37" s="36">
        <v>0.7521</v>
      </c>
      <c r="O37" s="36">
        <v>0.7995533333333332</v>
      </c>
      <c r="P37" s="36">
        <f t="shared" si="11"/>
        <v>0.7585044444444445</v>
      </c>
      <c r="Q37" s="2" t="str">
        <f t="shared" si="7"/>
        <v>IACC</v>
      </c>
      <c r="R37" s="36">
        <f t="shared" si="9"/>
        <v>-0.13429999999999986</v>
      </c>
      <c r="S37" s="36">
        <f t="shared" si="8"/>
        <v>-0.016046666666666654</v>
      </c>
      <c r="T37" s="36">
        <f t="shared" si="8"/>
        <v>-0.08305999999999991</v>
      </c>
      <c r="U37" s="36">
        <f t="shared" si="8"/>
        <v>-0.02539333333333349</v>
      </c>
      <c r="V37" s="36">
        <f t="shared" si="8"/>
        <v>-0.0569533333333333</v>
      </c>
      <c r="W37" s="36">
        <f t="shared" si="8"/>
        <v>-0.051959999999999895</v>
      </c>
      <c r="Z37" s="36"/>
      <c r="AA37" s="36"/>
      <c r="AB37" s="36"/>
      <c r="AC37" s="36"/>
      <c r="AD37" s="36"/>
      <c r="AE37" s="36"/>
      <c r="AF37" s="36"/>
    </row>
    <row r="38" spans="1:32" ht="15">
      <c r="A38"/>
      <c r="B38"/>
      <c r="C38"/>
      <c r="D38"/>
      <c r="E38"/>
      <c r="F38"/>
      <c r="G38"/>
      <c r="H38" s="36"/>
      <c r="I38" s="102"/>
      <c r="R38" s="2"/>
      <c r="S38" s="2"/>
      <c r="T38" s="2"/>
      <c r="U38" s="2"/>
      <c r="V38" s="2"/>
      <c r="W38" s="2"/>
      <c r="Z38" s="36"/>
      <c r="AA38" s="36"/>
      <c r="AB38" s="36"/>
      <c r="AC38" s="36"/>
      <c r="AD38" s="36"/>
      <c r="AE38" s="36"/>
      <c r="AF38" s="36"/>
    </row>
    <row r="39" spans="1:32" ht="15.75">
      <c r="A39" s="54" t="s">
        <v>18</v>
      </c>
      <c r="B39" s="55" t="s">
        <v>1</v>
      </c>
      <c r="C39" s="53"/>
      <c r="D39" s="53"/>
      <c r="E39" s="53"/>
      <c r="F39" s="53"/>
      <c r="G39" s="56"/>
      <c r="H39" s="36"/>
      <c r="I39" s="102" t="s">
        <v>18</v>
      </c>
      <c r="J39" s="55" t="s">
        <v>1</v>
      </c>
      <c r="K39" s="53"/>
      <c r="L39" s="53"/>
      <c r="M39" s="53"/>
      <c r="N39" s="53"/>
      <c r="O39" s="56"/>
      <c r="Q39" s="2" t="str">
        <f>+A39</f>
        <v>500 Hz</v>
      </c>
      <c r="R39" s="2" t="str">
        <f>+B39</f>
        <v>octave</v>
      </c>
      <c r="S39" s="2"/>
      <c r="T39" s="2"/>
      <c r="U39" s="2"/>
      <c r="V39" s="2"/>
      <c r="W39" s="2"/>
      <c r="Z39" s="36"/>
      <c r="AA39" s="36"/>
      <c r="AB39" s="36"/>
      <c r="AC39" s="36"/>
      <c r="AD39" s="36"/>
      <c r="AE39" s="36"/>
      <c r="AF39" s="36"/>
    </row>
    <row r="40" spans="1:32" ht="15">
      <c r="A40" s="57"/>
      <c r="B40" s="58" t="s">
        <v>2</v>
      </c>
      <c r="C40" s="58" t="s">
        <v>3</v>
      </c>
      <c r="D40" s="58" t="s">
        <v>4</v>
      </c>
      <c r="E40" s="58" t="s">
        <v>5</v>
      </c>
      <c r="F40" s="58" t="s">
        <v>6</v>
      </c>
      <c r="G40" s="59" t="s">
        <v>7</v>
      </c>
      <c r="H40" s="36"/>
      <c r="I40" s="103"/>
      <c r="J40" s="58" t="s">
        <v>2</v>
      </c>
      <c r="K40" s="58" t="s">
        <v>3</v>
      </c>
      <c r="L40" s="58" t="s">
        <v>4</v>
      </c>
      <c r="M40" s="58" t="s">
        <v>5</v>
      </c>
      <c r="N40" s="58" t="s">
        <v>6</v>
      </c>
      <c r="O40" s="59" t="s">
        <v>7</v>
      </c>
      <c r="R40" s="2" t="str">
        <f aca="true" t="shared" si="12" ref="R40:W40">+B40</f>
        <v>S1R1</v>
      </c>
      <c r="S40" s="2" t="str">
        <f t="shared" si="12"/>
        <v>S1R2</v>
      </c>
      <c r="T40" s="2" t="str">
        <f t="shared" si="12"/>
        <v>S1R3</v>
      </c>
      <c r="U40" s="2" t="str">
        <f t="shared" si="12"/>
        <v>S2R1</v>
      </c>
      <c r="V40" s="2" t="str">
        <f t="shared" si="12"/>
        <v>S2R2</v>
      </c>
      <c r="W40" s="2" t="str">
        <f t="shared" si="12"/>
        <v>S2R3</v>
      </c>
      <c r="Z40" s="36"/>
      <c r="AA40" s="36"/>
      <c r="AB40" s="36"/>
      <c r="AC40" s="36"/>
      <c r="AD40" s="36"/>
      <c r="AE40" s="36"/>
      <c r="AF40" s="36"/>
    </row>
    <row r="41" spans="1:32" ht="15">
      <c r="A41" s="60" t="s">
        <v>8</v>
      </c>
      <c r="B41" s="36">
        <v>1.084</v>
      </c>
      <c r="C41" s="36">
        <v>1.152</v>
      </c>
      <c r="D41" s="36">
        <v>1.078</v>
      </c>
      <c r="E41" s="36">
        <v>1.062</v>
      </c>
      <c r="F41" s="36">
        <v>1.132</v>
      </c>
      <c r="G41" s="36">
        <v>1.096</v>
      </c>
      <c r="H41" s="36">
        <f>AVERAGE(B41:G41)</f>
        <v>1.1006666666666667</v>
      </c>
      <c r="I41" s="108" t="s">
        <v>8</v>
      </c>
      <c r="J41" s="36">
        <v>0.7959999999999999</v>
      </c>
      <c r="K41" s="36">
        <v>0.8086666666666666</v>
      </c>
      <c r="L41" s="36">
        <v>0.81</v>
      </c>
      <c r="M41" s="36">
        <v>0.782</v>
      </c>
      <c r="N41" s="36">
        <v>0.852</v>
      </c>
      <c r="O41" s="36">
        <v>0.7979999999999999</v>
      </c>
      <c r="P41" s="36">
        <f>AVERAGE(J41:O41)</f>
        <v>0.8077777777777778</v>
      </c>
      <c r="Q41" s="2" t="str">
        <f aca="true" t="shared" si="13" ref="Q41:Q49">+A41</f>
        <v>T30/s</v>
      </c>
      <c r="R41" s="36">
        <f>+B41-J41</f>
        <v>0.28800000000000014</v>
      </c>
      <c r="S41" s="36">
        <f aca="true" t="shared" si="14" ref="S41:W49">+C41-K41</f>
        <v>0.34333333333333327</v>
      </c>
      <c r="T41" s="36">
        <f t="shared" si="14"/>
        <v>0.268</v>
      </c>
      <c r="U41" s="36">
        <f t="shared" si="14"/>
        <v>0.28</v>
      </c>
      <c r="V41" s="36">
        <f t="shared" si="14"/>
        <v>0.2799999999999999</v>
      </c>
      <c r="W41" s="36">
        <f t="shared" si="14"/>
        <v>0.29800000000000015</v>
      </c>
      <c r="Z41"/>
      <c r="AA41"/>
      <c r="AB41"/>
      <c r="AC41"/>
      <c r="AD41"/>
      <c r="AE41"/>
      <c r="AF41"/>
    </row>
    <row r="42" spans="1:32" ht="15">
      <c r="A42" s="60" t="s">
        <v>9</v>
      </c>
      <c r="B42" s="36">
        <v>1.1386666666666667</v>
      </c>
      <c r="C42" s="36">
        <v>0.9940000000000001</v>
      </c>
      <c r="D42" s="36">
        <v>1.2753333333333334</v>
      </c>
      <c r="E42" s="36">
        <v>1.1273333333333333</v>
      </c>
      <c r="F42" s="36">
        <v>1.064</v>
      </c>
      <c r="G42" s="36">
        <v>1.2133333333333334</v>
      </c>
      <c r="H42" s="36">
        <f>AVERAGE(B42:G42)</f>
        <v>1.1354444444444445</v>
      </c>
      <c r="I42" s="108" t="s">
        <v>9</v>
      </c>
      <c r="J42" s="36">
        <v>0.858</v>
      </c>
      <c r="K42" s="36">
        <v>0.7046666666666666</v>
      </c>
      <c r="L42" s="36">
        <v>0.8466666666666667</v>
      </c>
      <c r="M42" s="36">
        <v>0.8673333333333334</v>
      </c>
      <c r="N42" s="36">
        <v>0.8426666666666666</v>
      </c>
      <c r="O42" s="36">
        <v>0.922</v>
      </c>
      <c r="P42" s="36">
        <f>AVERAGE(J42:O42)</f>
        <v>0.8402222222222221</v>
      </c>
      <c r="Q42" s="2" t="str">
        <f t="shared" si="13"/>
        <v>EDT/s</v>
      </c>
      <c r="R42" s="36">
        <f aca="true" t="shared" si="15" ref="R42:R49">+B42-J42</f>
        <v>0.28066666666666673</v>
      </c>
      <c r="S42" s="36">
        <f t="shared" si="14"/>
        <v>0.28933333333333355</v>
      </c>
      <c r="T42" s="36">
        <f t="shared" si="14"/>
        <v>0.42866666666666675</v>
      </c>
      <c r="U42" s="36">
        <f t="shared" si="14"/>
        <v>0.2599999999999999</v>
      </c>
      <c r="V42" s="36">
        <f t="shared" si="14"/>
        <v>0.2213333333333335</v>
      </c>
      <c r="W42" s="36">
        <f t="shared" si="14"/>
        <v>0.29133333333333333</v>
      </c>
      <c r="Z42" s="36"/>
      <c r="AA42" s="36"/>
      <c r="AB42" s="36"/>
      <c r="AC42" s="36"/>
      <c r="AD42" s="36"/>
      <c r="AE42" s="36"/>
      <c r="AF42" s="36"/>
    </row>
    <row r="43" spans="1:32" ht="15">
      <c r="A43" s="60" t="s">
        <v>10</v>
      </c>
      <c r="B43" s="36">
        <v>41.87713333333333</v>
      </c>
      <c r="C43" s="36">
        <v>57.40086666666666</v>
      </c>
      <c r="D43" s="36">
        <v>48.49053333333334</v>
      </c>
      <c r="E43" s="36">
        <v>51.193933333333334</v>
      </c>
      <c r="F43" s="36">
        <v>41.342533333333336</v>
      </c>
      <c r="G43" s="36">
        <v>50.35466666666666</v>
      </c>
      <c r="H43" s="36">
        <f aca="true" t="shared" si="16" ref="H43:H49">AVERAGE(B43:G43)</f>
        <v>48.44327777777778</v>
      </c>
      <c r="I43" s="108" t="s">
        <v>10</v>
      </c>
      <c r="J43" s="36">
        <v>53.328866666666656</v>
      </c>
      <c r="K43" s="36">
        <v>68.97266666666667</v>
      </c>
      <c r="L43" s="36">
        <v>67.08166666666668</v>
      </c>
      <c r="M43" s="36">
        <v>62.677</v>
      </c>
      <c r="N43" s="36">
        <v>58.31086666666666</v>
      </c>
      <c r="O43" s="36">
        <v>62.423</v>
      </c>
      <c r="P43" s="36">
        <f aca="true" t="shared" si="17" ref="P43:P49">AVERAGE(J43:O43)</f>
        <v>62.13234444444444</v>
      </c>
      <c r="Q43" s="2" t="str">
        <f t="shared" si="13"/>
        <v>D/%</v>
      </c>
      <c r="R43" s="36">
        <f t="shared" si="15"/>
        <v>-11.451733333333323</v>
      </c>
      <c r="S43" s="36">
        <f t="shared" si="14"/>
        <v>-11.57180000000001</v>
      </c>
      <c r="T43" s="36">
        <f t="shared" si="14"/>
        <v>-18.59113333333334</v>
      </c>
      <c r="U43" s="36">
        <f t="shared" si="14"/>
        <v>-11.483066666666666</v>
      </c>
      <c r="V43" s="36">
        <f t="shared" si="14"/>
        <v>-16.968333333333327</v>
      </c>
      <c r="W43" s="36">
        <f t="shared" si="14"/>
        <v>-12.068333333333342</v>
      </c>
      <c r="Z43" s="36"/>
      <c r="AA43" s="36"/>
      <c r="AB43" s="36"/>
      <c r="AC43" s="36"/>
      <c r="AD43" s="36"/>
      <c r="AE43" s="36"/>
      <c r="AF43" s="36"/>
    </row>
    <row r="44" spans="1:32" ht="15">
      <c r="A44" s="60" t="s">
        <v>11</v>
      </c>
      <c r="B44" s="36">
        <v>2.2494150863214033</v>
      </c>
      <c r="C44" s="36">
        <v>3.829733649939179</v>
      </c>
      <c r="D44" s="36">
        <v>2.0517678584878216</v>
      </c>
      <c r="E44" s="36">
        <v>2.6347828139573264</v>
      </c>
      <c r="F44" s="36">
        <v>2.049987776235515</v>
      </c>
      <c r="G44" s="36">
        <v>2.2473195566192246</v>
      </c>
      <c r="H44" s="36">
        <f t="shared" si="16"/>
        <v>2.5105011235934116</v>
      </c>
      <c r="I44" s="108" t="s">
        <v>11</v>
      </c>
      <c r="J44" s="36">
        <v>4.582349488166095</v>
      </c>
      <c r="K44" s="36">
        <v>6.778502271166472</v>
      </c>
      <c r="L44" s="36">
        <v>5.6328142711081055</v>
      </c>
      <c r="M44" s="36">
        <v>5.134257875414242</v>
      </c>
      <c r="N44" s="36">
        <v>4.566683292534148</v>
      </c>
      <c r="O44" s="36">
        <v>4.740144903135995</v>
      </c>
      <c r="P44" s="36">
        <f t="shared" si="17"/>
        <v>5.239125350254176</v>
      </c>
      <c r="Q44" s="2" t="str">
        <f t="shared" si="13"/>
        <v>C/dB</v>
      </c>
      <c r="R44" s="36">
        <f t="shared" si="15"/>
        <v>-2.3329344018446916</v>
      </c>
      <c r="S44" s="36">
        <f t="shared" si="14"/>
        <v>-2.948768621227293</v>
      </c>
      <c r="T44" s="36">
        <f t="shared" si="14"/>
        <v>-3.581046412620284</v>
      </c>
      <c r="U44" s="36">
        <f t="shared" si="14"/>
        <v>-2.499475061456916</v>
      </c>
      <c r="V44" s="36">
        <f t="shared" si="14"/>
        <v>-2.516695516298633</v>
      </c>
      <c r="W44" s="36">
        <f t="shared" si="14"/>
        <v>-2.4928253465167707</v>
      </c>
      <c r="Z44" s="36"/>
      <c r="AA44" s="36"/>
      <c r="AB44" s="36"/>
      <c r="AC44" s="36"/>
      <c r="AD44" s="36"/>
      <c r="AE44" s="36"/>
      <c r="AF44" s="36"/>
    </row>
    <row r="45" spans="1:32" ht="15">
      <c r="A45" s="60" t="s">
        <v>12</v>
      </c>
      <c r="B45" s="36">
        <v>82.19753333333333</v>
      </c>
      <c r="C45" s="36">
        <v>65.7452</v>
      </c>
      <c r="D45" s="36">
        <v>81.9054</v>
      </c>
      <c r="E45" s="36">
        <v>74.4668</v>
      </c>
      <c r="F45" s="36">
        <v>80.3732</v>
      </c>
      <c r="G45" s="36">
        <v>74.4034</v>
      </c>
      <c r="H45" s="36">
        <f t="shared" si="16"/>
        <v>76.51525555555556</v>
      </c>
      <c r="I45" s="108" t="s">
        <v>12</v>
      </c>
      <c r="J45" s="36">
        <v>58.40666666666667</v>
      </c>
      <c r="K45" s="36">
        <v>45.0506</v>
      </c>
      <c r="L45" s="36">
        <v>52.449666666666666</v>
      </c>
      <c r="M45" s="36">
        <v>52.4772</v>
      </c>
      <c r="N45" s="36">
        <v>55.66746666666667</v>
      </c>
      <c r="O45" s="36">
        <v>50.77846666666667</v>
      </c>
      <c r="P45" s="36">
        <f t="shared" si="17"/>
        <v>52.47167777777778</v>
      </c>
      <c r="Q45" s="2" t="str">
        <f t="shared" si="13"/>
        <v>TS/ms</v>
      </c>
      <c r="R45" s="36">
        <f t="shared" si="15"/>
        <v>23.790866666666652</v>
      </c>
      <c r="S45" s="36">
        <f t="shared" si="14"/>
        <v>20.694599999999994</v>
      </c>
      <c r="T45" s="36">
        <f t="shared" si="14"/>
        <v>29.455733333333335</v>
      </c>
      <c r="U45" s="36">
        <f t="shared" si="14"/>
        <v>21.989600000000003</v>
      </c>
      <c r="V45" s="36">
        <f t="shared" si="14"/>
        <v>24.705733333333328</v>
      </c>
      <c r="W45" s="36">
        <f t="shared" si="14"/>
        <v>23.62493333333334</v>
      </c>
      <c r="Z45" s="36"/>
      <c r="AA45" s="36"/>
      <c r="AB45" s="36"/>
      <c r="AC45" s="36"/>
      <c r="AD45" s="36"/>
      <c r="AE45" s="36"/>
      <c r="AF45" s="36"/>
    </row>
    <row r="46" spans="1:32" ht="15">
      <c r="A46" s="60" t="s">
        <v>13</v>
      </c>
      <c r="B46" s="36">
        <v>19.153895579724733</v>
      </c>
      <c r="C46" s="36">
        <v>20.430020876684722</v>
      </c>
      <c r="D46" s="36">
        <v>18.661147642811947</v>
      </c>
      <c r="E46" s="36">
        <v>19.373462880021844</v>
      </c>
      <c r="F46" s="36">
        <v>19.153875766921836</v>
      </c>
      <c r="G46" s="36">
        <v>18.95765737640496</v>
      </c>
      <c r="H46" s="36">
        <f t="shared" si="16"/>
        <v>19.288343353761675</v>
      </c>
      <c r="I46" s="108" t="s">
        <v>13</v>
      </c>
      <c r="J46" s="36">
        <v>17.228442432309393</v>
      </c>
      <c r="K46" s="36">
        <v>19.27614810951895</v>
      </c>
      <c r="L46" s="36">
        <v>17.073446780564318</v>
      </c>
      <c r="M46" s="36">
        <v>17.999959033449283</v>
      </c>
      <c r="N46" s="36">
        <v>17.58165978940271</v>
      </c>
      <c r="O46" s="36">
        <v>17.754164206540192</v>
      </c>
      <c r="P46" s="36">
        <f t="shared" si="17"/>
        <v>17.818970058630807</v>
      </c>
      <c r="Q46" s="2" t="str">
        <f t="shared" si="13"/>
        <v>G/dB</v>
      </c>
      <c r="R46" s="36">
        <f t="shared" si="15"/>
        <v>1.9254531474153396</v>
      </c>
      <c r="S46" s="36">
        <f t="shared" si="14"/>
        <v>1.1538727671657725</v>
      </c>
      <c r="T46" s="36">
        <f t="shared" si="14"/>
        <v>1.5877008622476296</v>
      </c>
      <c r="U46" s="36">
        <f t="shared" si="14"/>
        <v>1.3735038465725609</v>
      </c>
      <c r="V46" s="36">
        <f t="shared" si="14"/>
        <v>1.5722159775191251</v>
      </c>
      <c r="W46" s="36">
        <f t="shared" si="14"/>
        <v>1.2034931698647675</v>
      </c>
      <c r="Z46" s="36"/>
      <c r="AA46" s="36"/>
      <c r="AB46" s="36"/>
      <c r="AC46" s="36"/>
      <c r="AD46" s="36"/>
      <c r="AE46" s="36"/>
      <c r="AF46" s="36"/>
    </row>
    <row r="47" spans="1:32" ht="15">
      <c r="A47" s="60" t="s">
        <v>14</v>
      </c>
      <c r="B47" s="36">
        <v>24.46066666666667</v>
      </c>
      <c r="C47" s="36">
        <v>22.201666666666668</v>
      </c>
      <c r="D47" s="36">
        <v>25.193</v>
      </c>
      <c r="E47" s="36">
        <v>17.574333333333332</v>
      </c>
      <c r="F47" s="36">
        <v>28.525</v>
      </c>
      <c r="G47" s="36">
        <v>21.622666666666664</v>
      </c>
      <c r="H47" s="36">
        <f t="shared" si="16"/>
        <v>23.26288888888889</v>
      </c>
      <c r="I47" s="110" t="s">
        <v>14</v>
      </c>
      <c r="J47" s="36">
        <v>20.95</v>
      </c>
      <c r="K47" s="36">
        <v>22.219333333333335</v>
      </c>
      <c r="L47" s="36">
        <v>19.733333333333334</v>
      </c>
      <c r="M47" s="36">
        <v>15.622666666666667</v>
      </c>
      <c r="N47" s="36">
        <v>28.565</v>
      </c>
      <c r="O47" s="36">
        <v>19.854666666666667</v>
      </c>
      <c r="P47" s="36">
        <f t="shared" si="17"/>
        <v>21.1575</v>
      </c>
      <c r="Q47" s="2" t="str">
        <f t="shared" si="13"/>
        <v>LF/%</v>
      </c>
      <c r="R47" s="36">
        <f t="shared" si="15"/>
        <v>3.510666666666669</v>
      </c>
      <c r="S47" s="36">
        <f t="shared" si="14"/>
        <v>-0.01766666666666694</v>
      </c>
      <c r="T47" s="36">
        <f t="shared" si="14"/>
        <v>5.459666666666667</v>
      </c>
      <c r="U47" s="36">
        <f t="shared" si="14"/>
        <v>1.9516666666666644</v>
      </c>
      <c r="V47" s="36">
        <f t="shared" si="14"/>
        <v>-0.0400000000000027</v>
      </c>
      <c r="W47" s="36">
        <f t="shared" si="14"/>
        <v>1.7679999999999971</v>
      </c>
      <c r="Z47" s="36"/>
      <c r="AA47" s="36"/>
      <c r="AB47" s="36"/>
      <c r="AC47" s="36"/>
      <c r="AD47" s="36"/>
      <c r="AE47" s="36"/>
      <c r="AF47" s="36"/>
    </row>
    <row r="48" spans="1:32" ht="15">
      <c r="A48" s="60" t="s">
        <v>15</v>
      </c>
      <c r="B48" s="36">
        <v>30.829666666666668</v>
      </c>
      <c r="C48" s="36">
        <v>31.589333333333332</v>
      </c>
      <c r="D48" s="36">
        <v>28.764333333333337</v>
      </c>
      <c r="E48" s="36">
        <v>24.289</v>
      </c>
      <c r="F48" s="36">
        <v>33.59433333333333</v>
      </c>
      <c r="G48" s="36">
        <v>31.344333333333335</v>
      </c>
      <c r="H48" s="36">
        <f t="shared" si="16"/>
        <v>30.0685</v>
      </c>
      <c r="I48" s="110" t="s">
        <v>15</v>
      </c>
      <c r="J48" s="36">
        <v>25.897666666666666</v>
      </c>
      <c r="K48" s="36">
        <v>31.624666666666666</v>
      </c>
      <c r="L48" s="36">
        <v>23.23466666666667</v>
      </c>
      <c r="M48" s="36">
        <v>21.989333333333335</v>
      </c>
      <c r="N48" s="36">
        <v>32.72266666666666</v>
      </c>
      <c r="O48" s="36">
        <v>29.663666666666668</v>
      </c>
      <c r="P48" s="36">
        <f t="shared" si="17"/>
        <v>27.522111111111112</v>
      </c>
      <c r="Q48" s="2" t="str">
        <f t="shared" si="13"/>
        <v>LFC/%</v>
      </c>
      <c r="R48" s="36">
        <f t="shared" si="15"/>
        <v>4.932000000000002</v>
      </c>
      <c r="S48" s="36">
        <f t="shared" si="14"/>
        <v>-0.03533333333333388</v>
      </c>
      <c r="T48" s="36">
        <f t="shared" si="14"/>
        <v>5.529666666666667</v>
      </c>
      <c r="U48" s="36">
        <f t="shared" si="14"/>
        <v>2.299666666666667</v>
      </c>
      <c r="V48" s="36">
        <f t="shared" si="14"/>
        <v>0.8716666666666697</v>
      </c>
      <c r="W48" s="36">
        <f t="shared" si="14"/>
        <v>1.6806666666666672</v>
      </c>
      <c r="Z48" s="36"/>
      <c r="AA48" s="36"/>
      <c r="AB48" s="36"/>
      <c r="AC48" s="36"/>
      <c r="AD48" s="36"/>
      <c r="AE48" s="36"/>
      <c r="AF48" s="36"/>
    </row>
    <row r="49" spans="1:32" ht="15">
      <c r="A49" s="61" t="s">
        <v>16</v>
      </c>
      <c r="B49" s="36">
        <v>0.3269</v>
      </c>
      <c r="C49" s="36">
        <v>0.19743333333333332</v>
      </c>
      <c r="D49" s="36">
        <v>0.25422</v>
      </c>
      <c r="E49" s="36">
        <v>0.4194066666666667</v>
      </c>
      <c r="F49" s="36">
        <v>0.3065</v>
      </c>
      <c r="G49" s="36">
        <v>0.30051999999999995</v>
      </c>
      <c r="H49" s="36">
        <f t="shared" si="16"/>
        <v>0.30083</v>
      </c>
      <c r="I49" s="108" t="s">
        <v>16</v>
      </c>
      <c r="J49" s="36">
        <v>0.40978666666666663</v>
      </c>
      <c r="K49" s="36">
        <v>0.23762</v>
      </c>
      <c r="L49" s="36">
        <v>0.31772</v>
      </c>
      <c r="M49" s="36">
        <v>0.4526066666666667</v>
      </c>
      <c r="N49" s="36">
        <v>0.361225</v>
      </c>
      <c r="O49" s="36">
        <v>0.32134</v>
      </c>
      <c r="P49" s="36">
        <f t="shared" si="17"/>
        <v>0.3500497222222223</v>
      </c>
      <c r="Q49" s="2" t="str">
        <f t="shared" si="13"/>
        <v>IACC</v>
      </c>
      <c r="R49" s="36">
        <f t="shared" si="15"/>
        <v>-0.08288666666666661</v>
      </c>
      <c r="S49" s="36">
        <f t="shared" si="14"/>
        <v>-0.040186666666666676</v>
      </c>
      <c r="T49" s="36">
        <f t="shared" si="14"/>
        <v>-0.0635</v>
      </c>
      <c r="U49" s="36">
        <f t="shared" si="14"/>
        <v>-0.03320000000000001</v>
      </c>
      <c r="V49" s="36">
        <f t="shared" si="14"/>
        <v>-0.054725000000000024</v>
      </c>
      <c r="W49" s="36">
        <f t="shared" si="14"/>
        <v>-0.02082000000000006</v>
      </c>
      <c r="Z49" s="36"/>
      <c r="AA49" s="36"/>
      <c r="AB49" s="36"/>
      <c r="AC49" s="36"/>
      <c r="AD49" s="36"/>
      <c r="AE49" s="36"/>
      <c r="AF49" s="36"/>
    </row>
    <row r="50" spans="1:32" ht="15">
      <c r="A50"/>
      <c r="B50"/>
      <c r="C50"/>
      <c r="D50"/>
      <c r="E50"/>
      <c r="F50"/>
      <c r="G50"/>
      <c r="H50" s="36"/>
      <c r="I50" s="102"/>
      <c r="R50" s="36"/>
      <c r="S50" s="36"/>
      <c r="T50" s="36"/>
      <c r="U50" s="36"/>
      <c r="V50" s="36"/>
      <c r="W50" s="36"/>
      <c r="Z50" s="36"/>
      <c r="AA50" s="36"/>
      <c r="AB50" s="36"/>
      <c r="AC50" s="36"/>
      <c r="AD50" s="36"/>
      <c r="AE50" s="36"/>
      <c r="AF50" s="36"/>
    </row>
    <row r="51" spans="1:32" ht="15.75">
      <c r="A51" s="54" t="s">
        <v>19</v>
      </c>
      <c r="B51" s="55" t="s">
        <v>1</v>
      </c>
      <c r="C51" s="53"/>
      <c r="D51" s="53"/>
      <c r="E51" s="53"/>
      <c r="F51" s="53"/>
      <c r="G51" s="56"/>
      <c r="H51" s="36"/>
      <c r="I51" s="102" t="s">
        <v>19</v>
      </c>
      <c r="J51" s="55" t="s">
        <v>1</v>
      </c>
      <c r="K51" s="53"/>
      <c r="L51" s="53"/>
      <c r="M51" s="53"/>
      <c r="N51" s="53"/>
      <c r="O51" s="56"/>
      <c r="Q51" s="2" t="str">
        <f>+A51</f>
        <v>1000 Hz</v>
      </c>
      <c r="R51" s="2" t="str">
        <f>+B51</f>
        <v>octave</v>
      </c>
      <c r="S51" s="2"/>
      <c r="T51" s="2"/>
      <c r="U51" s="2"/>
      <c r="V51" s="2"/>
      <c r="W51" s="2"/>
      <c r="Z51"/>
      <c r="AA51"/>
      <c r="AB51"/>
      <c r="AC51"/>
      <c r="AD51"/>
      <c r="AE51"/>
      <c r="AF51"/>
    </row>
    <row r="52" spans="1:32" ht="15">
      <c r="A52" s="57"/>
      <c r="B52" s="58" t="s">
        <v>2</v>
      </c>
      <c r="C52" s="58" t="s">
        <v>3</v>
      </c>
      <c r="D52" s="58" t="s">
        <v>4</v>
      </c>
      <c r="E52" s="58" t="s">
        <v>5</v>
      </c>
      <c r="F52" s="58" t="s">
        <v>6</v>
      </c>
      <c r="G52" s="59" t="s">
        <v>7</v>
      </c>
      <c r="H52" s="36"/>
      <c r="I52" s="103"/>
      <c r="J52" s="58" t="s">
        <v>2</v>
      </c>
      <c r="K52" s="58" t="s">
        <v>3</v>
      </c>
      <c r="L52" s="58" t="s">
        <v>4</v>
      </c>
      <c r="M52" s="58" t="s">
        <v>5</v>
      </c>
      <c r="N52" s="58" t="s">
        <v>6</v>
      </c>
      <c r="O52" s="59" t="s">
        <v>7</v>
      </c>
      <c r="R52" s="2" t="str">
        <f aca="true" t="shared" si="18" ref="R52:W52">+B52</f>
        <v>S1R1</v>
      </c>
      <c r="S52" s="2" t="str">
        <f t="shared" si="18"/>
        <v>S1R2</v>
      </c>
      <c r="T52" s="2" t="str">
        <f t="shared" si="18"/>
        <v>S1R3</v>
      </c>
      <c r="U52" s="2" t="str">
        <f t="shared" si="18"/>
        <v>S2R1</v>
      </c>
      <c r="V52" s="2" t="str">
        <f t="shared" si="18"/>
        <v>S2R2</v>
      </c>
      <c r="W52" s="2" t="str">
        <f t="shared" si="18"/>
        <v>S2R3</v>
      </c>
      <c r="Z52" s="36"/>
      <c r="AA52" s="36"/>
      <c r="AB52" s="36"/>
      <c r="AC52" s="36"/>
      <c r="AD52" s="36"/>
      <c r="AE52" s="36"/>
      <c r="AF52" s="36"/>
    </row>
    <row r="53" spans="1:32" ht="15">
      <c r="A53" s="60" t="s">
        <v>8</v>
      </c>
      <c r="B53" s="68">
        <v>1.1460000000000001</v>
      </c>
      <c r="C53" s="68">
        <v>1.1173333333333333</v>
      </c>
      <c r="D53" s="68">
        <v>1.16</v>
      </c>
      <c r="E53" s="68">
        <v>1.1326666666666667</v>
      </c>
      <c r="F53" s="68">
        <v>1.1493333333333333</v>
      </c>
      <c r="G53" s="68">
        <v>1.1</v>
      </c>
      <c r="H53" s="36">
        <f>AVERAGE(B53:G53)</f>
        <v>1.1342222222222222</v>
      </c>
      <c r="I53" s="108" t="s">
        <v>8</v>
      </c>
      <c r="J53" s="36">
        <v>0.8</v>
      </c>
      <c r="K53" s="36">
        <v>0.8160000000000001</v>
      </c>
      <c r="L53" s="36">
        <v>0.8186666666666665</v>
      </c>
      <c r="M53" s="36">
        <v>0.8133333333333332</v>
      </c>
      <c r="N53" s="36">
        <v>0.8220000000000001</v>
      </c>
      <c r="O53" s="36">
        <v>0.8133333333333332</v>
      </c>
      <c r="P53" s="36">
        <f>AVERAGE(J53:O53)</f>
        <v>0.813888888888889</v>
      </c>
      <c r="Q53" s="2" t="str">
        <f aca="true" t="shared" si="19" ref="Q53:Q61">+A53</f>
        <v>T30/s</v>
      </c>
      <c r="R53" s="36">
        <f>+B53-J53</f>
        <v>0.3460000000000001</v>
      </c>
      <c r="S53" s="36">
        <f aca="true" t="shared" si="20" ref="S53:W61">+C53-K53</f>
        <v>0.30133333333333323</v>
      </c>
      <c r="T53" s="36">
        <f t="shared" si="20"/>
        <v>0.3413333333333334</v>
      </c>
      <c r="U53" s="36">
        <f t="shared" si="20"/>
        <v>0.31933333333333347</v>
      </c>
      <c r="V53" s="36">
        <f t="shared" si="20"/>
        <v>0.32733333333333325</v>
      </c>
      <c r="W53" s="36">
        <f t="shared" si="20"/>
        <v>0.28666666666666685</v>
      </c>
      <c r="Z53" s="36"/>
      <c r="AA53" s="36"/>
      <c r="AB53" s="36"/>
      <c r="AC53" s="36"/>
      <c r="AD53" s="36"/>
      <c r="AE53" s="36"/>
      <c r="AF53" s="36"/>
    </row>
    <row r="54" spans="1:32" ht="15">
      <c r="A54" s="60" t="s">
        <v>9</v>
      </c>
      <c r="B54" s="36">
        <v>1.1333333333333333</v>
      </c>
      <c r="C54" s="36">
        <v>1.0833333333333335</v>
      </c>
      <c r="D54" s="36">
        <v>1.1133333333333333</v>
      </c>
      <c r="E54" s="36">
        <v>1.0546666666666666</v>
      </c>
      <c r="F54" s="36">
        <v>1.134</v>
      </c>
      <c r="G54" s="36">
        <v>1.1286666666666665</v>
      </c>
      <c r="H54" s="36">
        <f>AVERAGE(B54:G54)</f>
        <v>1.107888888888889</v>
      </c>
      <c r="I54" s="108" t="s">
        <v>9</v>
      </c>
      <c r="J54" s="36">
        <v>0.9146666666666666</v>
      </c>
      <c r="K54" s="36">
        <v>0.744</v>
      </c>
      <c r="L54" s="36">
        <v>0.8826666666666666</v>
      </c>
      <c r="M54" s="36">
        <v>0.7433333333333334</v>
      </c>
      <c r="N54" s="36">
        <v>0.8506666666666668</v>
      </c>
      <c r="O54" s="36">
        <v>0.7886666666666666</v>
      </c>
      <c r="P54" s="36">
        <f>AVERAGE(J54:O54)</f>
        <v>0.8206666666666668</v>
      </c>
      <c r="Q54" s="2" t="str">
        <f t="shared" si="19"/>
        <v>EDT/s</v>
      </c>
      <c r="R54" s="36">
        <f aca="true" t="shared" si="21" ref="R54:R61">+B54-J54</f>
        <v>0.21866666666666668</v>
      </c>
      <c r="S54" s="36">
        <f t="shared" si="20"/>
        <v>0.3393333333333335</v>
      </c>
      <c r="T54" s="36">
        <f t="shared" si="20"/>
        <v>0.2306666666666667</v>
      </c>
      <c r="U54" s="36">
        <f t="shared" si="20"/>
        <v>0.31133333333333324</v>
      </c>
      <c r="V54" s="36">
        <f t="shared" si="20"/>
        <v>0.2833333333333331</v>
      </c>
      <c r="W54" s="36">
        <f t="shared" si="20"/>
        <v>0.33999999999999986</v>
      </c>
      <c r="Z54" s="36"/>
      <c r="AA54" s="36"/>
      <c r="AB54" s="36"/>
      <c r="AC54" s="36"/>
      <c r="AD54" s="36"/>
      <c r="AE54" s="36"/>
      <c r="AF54" s="36"/>
    </row>
    <row r="55" spans="1:32" ht="15">
      <c r="A55" s="60" t="s">
        <v>10</v>
      </c>
      <c r="B55" s="36">
        <v>51.36253333333334</v>
      </c>
      <c r="C55" s="36">
        <v>59.3934</v>
      </c>
      <c r="D55" s="36">
        <v>44.629333333333335</v>
      </c>
      <c r="E55" s="36">
        <v>57.06913333333333</v>
      </c>
      <c r="F55" s="36">
        <v>47.382799999999996</v>
      </c>
      <c r="G55" s="36">
        <v>55.156600000000005</v>
      </c>
      <c r="H55" s="36">
        <f aca="true" t="shared" si="22" ref="H55:H61">AVERAGE(B55:G55)</f>
        <v>52.49896666666667</v>
      </c>
      <c r="I55" s="108" t="s">
        <v>10</v>
      </c>
      <c r="J55" s="36">
        <v>61.62186666666666</v>
      </c>
      <c r="K55" s="36">
        <v>70.38766666666668</v>
      </c>
      <c r="L55" s="36">
        <v>56.6622</v>
      </c>
      <c r="M55" s="36">
        <v>70.6644</v>
      </c>
      <c r="N55" s="36">
        <v>61.269466666666666</v>
      </c>
      <c r="O55" s="36">
        <v>67.60819999999998</v>
      </c>
      <c r="P55" s="36">
        <f aca="true" t="shared" si="23" ref="P55:P61">AVERAGE(J55:O55)</f>
        <v>64.7023</v>
      </c>
      <c r="Q55" s="2" t="str">
        <f t="shared" si="19"/>
        <v>D/%</v>
      </c>
      <c r="R55" s="36">
        <f t="shared" si="21"/>
        <v>-10.259333333333323</v>
      </c>
      <c r="S55" s="36">
        <f t="shared" si="20"/>
        <v>-10.994266666666675</v>
      </c>
      <c r="T55" s="36">
        <f t="shared" si="20"/>
        <v>-12.032866666666663</v>
      </c>
      <c r="U55" s="36">
        <f t="shared" si="20"/>
        <v>-13.595266666666667</v>
      </c>
      <c r="V55" s="36">
        <f t="shared" si="20"/>
        <v>-13.88666666666667</v>
      </c>
      <c r="W55" s="36">
        <f t="shared" si="20"/>
        <v>-12.451599999999978</v>
      </c>
      <c r="Z55" s="36"/>
      <c r="AA55" s="36"/>
      <c r="AB55" s="36"/>
      <c r="AC55" s="36"/>
      <c r="AD55" s="36"/>
      <c r="AE55" s="36"/>
      <c r="AF55" s="36"/>
    </row>
    <row r="56" spans="1:32" ht="15">
      <c r="A56" s="60" t="s">
        <v>11</v>
      </c>
      <c r="B56" s="36">
        <v>3.1336230295090055</v>
      </c>
      <c r="C56" s="36">
        <v>4.161568109811453</v>
      </c>
      <c r="D56" s="36">
        <v>2.280816100740254</v>
      </c>
      <c r="E56" s="36">
        <v>3.750705480544984</v>
      </c>
      <c r="F56" s="36">
        <v>2.2265409015728297</v>
      </c>
      <c r="G56" s="36">
        <v>2.814839170347578</v>
      </c>
      <c r="H56" s="36">
        <f t="shared" si="22"/>
        <v>3.0613487987543504</v>
      </c>
      <c r="I56" s="108" t="s">
        <v>11</v>
      </c>
      <c r="J56" s="36">
        <v>4.601300113615485</v>
      </c>
      <c r="K56" s="36">
        <v>6.623042421608934</v>
      </c>
      <c r="L56" s="36">
        <v>4.62327622130818</v>
      </c>
      <c r="M56" s="36">
        <v>6.812135844409161</v>
      </c>
      <c r="N56" s="36">
        <v>4.9050620685162984</v>
      </c>
      <c r="O56" s="36">
        <v>5.556005052381837</v>
      </c>
      <c r="P56" s="36">
        <f t="shared" si="23"/>
        <v>5.520136953639983</v>
      </c>
      <c r="Q56" s="2" t="str">
        <f t="shared" si="19"/>
        <v>C/dB</v>
      </c>
      <c r="R56" s="36">
        <f t="shared" si="21"/>
        <v>-1.4676770841064797</v>
      </c>
      <c r="S56" s="36">
        <f t="shared" si="20"/>
        <v>-2.461474311797481</v>
      </c>
      <c r="T56" s="36">
        <f t="shared" si="20"/>
        <v>-2.3424601205679263</v>
      </c>
      <c r="U56" s="36">
        <f t="shared" si="20"/>
        <v>-3.0614303638641767</v>
      </c>
      <c r="V56" s="36">
        <f t="shared" si="20"/>
        <v>-2.6785211669434688</v>
      </c>
      <c r="W56" s="36">
        <f t="shared" si="20"/>
        <v>-2.7411658820342595</v>
      </c>
      <c r="Z56" s="36"/>
      <c r="AA56" s="36"/>
      <c r="AB56" s="36"/>
      <c r="AC56" s="36"/>
      <c r="AD56" s="36"/>
      <c r="AE56" s="36"/>
      <c r="AF56" s="36"/>
    </row>
    <row r="57" spans="1:32" ht="13.5" customHeight="1">
      <c r="A57" s="60" t="s">
        <v>12</v>
      </c>
      <c r="B57" s="36">
        <v>74.24833333333333</v>
      </c>
      <c r="C57" s="36">
        <v>65.84006666666667</v>
      </c>
      <c r="D57" s="36">
        <v>80.82373333333334</v>
      </c>
      <c r="E57" s="36">
        <v>65.76646666666667</v>
      </c>
      <c r="F57" s="36">
        <v>79.87146666666666</v>
      </c>
      <c r="G57" s="36">
        <v>72.08153333333334</v>
      </c>
      <c r="H57" s="36">
        <f t="shared" si="22"/>
        <v>73.10526666666668</v>
      </c>
      <c r="I57" s="108" t="s">
        <v>12</v>
      </c>
      <c r="J57" s="36">
        <v>54.96306666666667</v>
      </c>
      <c r="K57" s="36">
        <v>44.9902</v>
      </c>
      <c r="L57" s="36">
        <v>57.99406666666666</v>
      </c>
      <c r="M57" s="36">
        <v>44.306200000000004</v>
      </c>
      <c r="N57" s="36">
        <v>56.1614</v>
      </c>
      <c r="O57" s="36">
        <v>50.415266666666675</v>
      </c>
      <c r="P57" s="36">
        <f t="shared" si="23"/>
        <v>51.471700000000006</v>
      </c>
      <c r="Q57" s="2" t="str">
        <f t="shared" si="19"/>
        <v>TS/ms</v>
      </c>
      <c r="R57" s="36">
        <f t="shared" si="21"/>
        <v>19.285266666666665</v>
      </c>
      <c r="S57" s="36">
        <f t="shared" si="20"/>
        <v>20.84986666666667</v>
      </c>
      <c r="T57" s="36">
        <f t="shared" si="20"/>
        <v>22.829666666666675</v>
      </c>
      <c r="U57" s="36">
        <f t="shared" si="20"/>
        <v>21.46026666666667</v>
      </c>
      <c r="V57" s="36">
        <f t="shared" si="20"/>
        <v>23.710066666666663</v>
      </c>
      <c r="W57" s="36">
        <f t="shared" si="20"/>
        <v>21.666266666666665</v>
      </c>
      <c r="Z57" s="36"/>
      <c r="AA57" s="36"/>
      <c r="AB57" s="36"/>
      <c r="AC57" s="36"/>
      <c r="AD57" s="36"/>
      <c r="AE57" s="36"/>
      <c r="AF57" s="36"/>
    </row>
    <row r="58" spans="1:32" ht="12" customHeight="1">
      <c r="A58" s="60" t="s">
        <v>13</v>
      </c>
      <c r="B58" s="36">
        <v>19.252795593052532</v>
      </c>
      <c r="C58" s="36">
        <v>20.71918622094617</v>
      </c>
      <c r="D58" s="36">
        <v>19.111829691804648</v>
      </c>
      <c r="E58" s="36">
        <v>20.427313620332086</v>
      </c>
      <c r="F58" s="36">
        <v>19.253680606917687</v>
      </c>
      <c r="G58" s="36">
        <v>20.024816053463123</v>
      </c>
      <c r="H58" s="36">
        <f t="shared" si="22"/>
        <v>19.79827029775271</v>
      </c>
      <c r="I58" s="108" t="s">
        <v>13</v>
      </c>
      <c r="J58" s="36">
        <v>17.646535401773665</v>
      </c>
      <c r="K58" s="36">
        <v>19.424529755198034</v>
      </c>
      <c r="L58" s="36">
        <v>17.621722590139026</v>
      </c>
      <c r="M58" s="36">
        <v>19.131460652418173</v>
      </c>
      <c r="N58" s="36">
        <v>17.791117247229543</v>
      </c>
      <c r="O58" s="36">
        <v>18.850211069002356</v>
      </c>
      <c r="P58" s="36">
        <f t="shared" si="23"/>
        <v>18.4109294526268</v>
      </c>
      <c r="Q58" s="2" t="str">
        <f t="shared" si="19"/>
        <v>G/dB</v>
      </c>
      <c r="R58" s="36">
        <f t="shared" si="21"/>
        <v>1.6062601912788672</v>
      </c>
      <c r="S58" s="36">
        <f t="shared" si="20"/>
        <v>1.2946564657481368</v>
      </c>
      <c r="T58" s="36">
        <f t="shared" si="20"/>
        <v>1.4901071016656218</v>
      </c>
      <c r="U58" s="36">
        <f t="shared" si="20"/>
        <v>1.2958529679139126</v>
      </c>
      <c r="V58" s="36">
        <f t="shared" si="20"/>
        <v>1.4625633596881435</v>
      </c>
      <c r="W58" s="36">
        <f t="shared" si="20"/>
        <v>1.1746049844607676</v>
      </c>
      <c r="Z58" s="36"/>
      <c r="AA58" s="36"/>
      <c r="AB58" s="36"/>
      <c r="AC58" s="36"/>
      <c r="AD58" s="36"/>
      <c r="AE58" s="36"/>
      <c r="AF58" s="36"/>
    </row>
    <row r="59" spans="1:32" ht="15">
      <c r="A59" s="60" t="s">
        <v>14</v>
      </c>
      <c r="B59" s="36">
        <v>23.201333333333334</v>
      </c>
      <c r="C59" s="36">
        <v>16.541999999999998</v>
      </c>
      <c r="D59" s="36">
        <v>20.749333333333333</v>
      </c>
      <c r="E59" s="36">
        <v>19.69033333333333</v>
      </c>
      <c r="F59" s="36">
        <v>20.571</v>
      </c>
      <c r="G59" s="36">
        <v>20.006333333333334</v>
      </c>
      <c r="H59" s="36">
        <f t="shared" si="22"/>
        <v>20.12672222222222</v>
      </c>
      <c r="I59" s="110" t="s">
        <v>14</v>
      </c>
      <c r="J59" s="36">
        <v>19.443</v>
      </c>
      <c r="K59" s="36">
        <v>15.363999999999999</v>
      </c>
      <c r="L59" s="36">
        <v>19.128666666666668</v>
      </c>
      <c r="M59" s="36">
        <v>15.982</v>
      </c>
      <c r="N59" s="36">
        <v>22.423999999999996</v>
      </c>
      <c r="O59" s="36">
        <v>20.43766666666667</v>
      </c>
      <c r="P59" s="36">
        <f t="shared" si="23"/>
        <v>18.796555555555553</v>
      </c>
      <c r="Q59" s="2" t="str">
        <f t="shared" si="19"/>
        <v>LF/%</v>
      </c>
      <c r="R59" s="36">
        <f t="shared" si="21"/>
        <v>3.758333333333333</v>
      </c>
      <c r="S59" s="36">
        <f t="shared" si="20"/>
        <v>1.177999999999999</v>
      </c>
      <c r="T59" s="36">
        <f t="shared" si="20"/>
        <v>1.620666666666665</v>
      </c>
      <c r="U59" s="36">
        <f t="shared" si="20"/>
        <v>3.708333333333332</v>
      </c>
      <c r="V59" s="36">
        <f t="shared" si="20"/>
        <v>-1.8529999999999944</v>
      </c>
      <c r="W59" s="36">
        <f t="shared" si="20"/>
        <v>-0.4313333333333347</v>
      </c>
      <c r="Z59" s="36"/>
      <c r="AA59" s="36"/>
      <c r="AB59" s="36"/>
      <c r="AC59" s="36"/>
      <c r="AD59" s="36"/>
      <c r="AE59" s="36"/>
      <c r="AF59" s="36"/>
    </row>
    <row r="60" spans="1:32" ht="15">
      <c r="A60" s="60" t="s">
        <v>15</v>
      </c>
      <c r="B60" s="36">
        <v>32.333333333333336</v>
      </c>
      <c r="C60" s="36">
        <v>25.19633333333333</v>
      </c>
      <c r="D60" s="36">
        <v>29.893</v>
      </c>
      <c r="E60" s="36">
        <v>28.743333333333336</v>
      </c>
      <c r="F60" s="36">
        <v>27.933333333333334</v>
      </c>
      <c r="G60" s="36">
        <v>29.037000000000003</v>
      </c>
      <c r="H60" s="36">
        <f t="shared" si="22"/>
        <v>28.856055555555557</v>
      </c>
      <c r="I60" s="110" t="s">
        <v>15</v>
      </c>
      <c r="J60" s="36">
        <v>26.30966666666667</v>
      </c>
      <c r="K60" s="36">
        <v>25.031666666666666</v>
      </c>
      <c r="L60" s="36">
        <v>28.555</v>
      </c>
      <c r="M60" s="36">
        <v>24.256666666666664</v>
      </c>
      <c r="N60" s="36">
        <v>28.979000000000003</v>
      </c>
      <c r="O60" s="36">
        <v>32.102</v>
      </c>
      <c r="P60" s="36">
        <f t="shared" si="23"/>
        <v>27.539</v>
      </c>
      <c r="Q60" s="2" t="str">
        <f t="shared" si="19"/>
        <v>LFC/%</v>
      </c>
      <c r="R60" s="36">
        <f t="shared" si="21"/>
        <v>6.023666666666667</v>
      </c>
      <c r="S60" s="36">
        <f t="shared" si="20"/>
        <v>0.1646666666666654</v>
      </c>
      <c r="T60" s="36">
        <f t="shared" si="20"/>
        <v>1.338000000000001</v>
      </c>
      <c r="U60" s="36">
        <f t="shared" si="20"/>
        <v>4.486666666666672</v>
      </c>
      <c r="V60" s="36">
        <f t="shared" si="20"/>
        <v>-1.0456666666666692</v>
      </c>
      <c r="W60" s="36">
        <f t="shared" si="20"/>
        <v>-3.064999999999994</v>
      </c>
      <c r="Z60" s="36"/>
      <c r="AA60" s="36"/>
      <c r="AB60" s="36"/>
      <c r="AC60" s="36"/>
      <c r="AD60" s="36"/>
      <c r="AE60" s="36"/>
      <c r="AF60" s="36"/>
    </row>
    <row r="61" spans="1:32" ht="15">
      <c r="A61" s="61" t="s">
        <v>16</v>
      </c>
      <c r="B61" s="36">
        <v>0.28944666666666663</v>
      </c>
      <c r="C61" s="36">
        <v>0.35514</v>
      </c>
      <c r="D61" s="36">
        <v>0.19276666666666667</v>
      </c>
      <c r="E61" s="36">
        <v>0.28761333333333333</v>
      </c>
      <c r="F61" s="36">
        <v>0.17103333333333334</v>
      </c>
      <c r="G61" s="36">
        <v>0.2596266666666667</v>
      </c>
      <c r="H61" s="36">
        <f t="shared" si="22"/>
        <v>0.2592711111111111</v>
      </c>
      <c r="I61" s="108" t="s">
        <v>16</v>
      </c>
      <c r="J61" s="36">
        <v>0.34830666666666665</v>
      </c>
      <c r="K61" s="36">
        <v>0.40331333333333336</v>
      </c>
      <c r="L61" s="36">
        <v>0.2220533333333333</v>
      </c>
      <c r="M61" s="36">
        <v>0.34772</v>
      </c>
      <c r="N61" s="36">
        <v>0.18416666666666665</v>
      </c>
      <c r="O61" s="36">
        <v>0.30229333333333336</v>
      </c>
      <c r="P61" s="36">
        <f t="shared" si="23"/>
        <v>0.30130888888888885</v>
      </c>
      <c r="Q61" s="2" t="str">
        <f t="shared" si="19"/>
        <v>IACC</v>
      </c>
      <c r="R61" s="36">
        <f t="shared" si="21"/>
        <v>-0.05886000000000002</v>
      </c>
      <c r="S61" s="36">
        <f t="shared" si="20"/>
        <v>-0.048173333333333346</v>
      </c>
      <c r="T61" s="36">
        <f t="shared" si="20"/>
        <v>-0.029286666666666628</v>
      </c>
      <c r="U61" s="36">
        <f t="shared" si="20"/>
        <v>-0.06010666666666664</v>
      </c>
      <c r="V61" s="36">
        <f t="shared" si="20"/>
        <v>-0.013133333333333302</v>
      </c>
      <c r="W61" s="36">
        <f t="shared" si="20"/>
        <v>-0.042666666666666686</v>
      </c>
      <c r="Z61"/>
      <c r="AA61"/>
      <c r="AB61"/>
      <c r="AC61"/>
      <c r="AD61"/>
      <c r="AE61"/>
      <c r="AF61"/>
    </row>
    <row r="62" spans="1:32" ht="15">
      <c r="A62"/>
      <c r="B62" s="36"/>
      <c r="C62" s="36"/>
      <c r="D62" s="36"/>
      <c r="E62" s="36"/>
      <c r="F62" s="36"/>
      <c r="G62" s="36"/>
      <c r="H62" s="36"/>
      <c r="I62" s="102"/>
      <c r="R62" s="2"/>
      <c r="S62" s="2"/>
      <c r="T62" s="2"/>
      <c r="U62" s="2"/>
      <c r="V62" s="2"/>
      <c r="W62" s="2"/>
      <c r="Z62" s="36"/>
      <c r="AA62" s="36"/>
      <c r="AB62" s="36"/>
      <c r="AC62" s="36"/>
      <c r="AD62" s="36"/>
      <c r="AE62" s="36"/>
      <c r="AF62" s="36"/>
    </row>
    <row r="63" spans="1:32" ht="15.75">
      <c r="A63" s="54" t="s">
        <v>20</v>
      </c>
      <c r="B63" s="55" t="s">
        <v>1</v>
      </c>
      <c r="C63" s="53"/>
      <c r="D63" s="53"/>
      <c r="E63" s="53"/>
      <c r="F63" s="53"/>
      <c r="G63" s="56"/>
      <c r="H63" s="36"/>
      <c r="I63" s="102" t="s">
        <v>20</v>
      </c>
      <c r="J63" s="55" t="s">
        <v>1</v>
      </c>
      <c r="K63" s="53"/>
      <c r="L63" s="53"/>
      <c r="M63" s="53"/>
      <c r="N63" s="53"/>
      <c r="O63" s="56"/>
      <c r="Q63" s="2" t="str">
        <f>+A63</f>
        <v>2000 Hz</v>
      </c>
      <c r="R63" s="2" t="str">
        <f>+B63</f>
        <v>octave</v>
      </c>
      <c r="S63" s="2"/>
      <c r="T63" s="2"/>
      <c r="U63" s="2"/>
      <c r="V63" s="2"/>
      <c r="W63" s="2"/>
      <c r="Z63" s="36"/>
      <c r="AA63" s="36"/>
      <c r="AB63" s="36"/>
      <c r="AC63" s="36"/>
      <c r="AD63" s="36"/>
      <c r="AE63" s="36"/>
      <c r="AF63" s="36"/>
    </row>
    <row r="64" spans="1:32" ht="15">
      <c r="A64" s="57"/>
      <c r="B64" s="58" t="s">
        <v>2</v>
      </c>
      <c r="C64" s="58" t="s">
        <v>3</v>
      </c>
      <c r="D64" s="58" t="s">
        <v>4</v>
      </c>
      <c r="E64" s="58" t="s">
        <v>5</v>
      </c>
      <c r="F64" s="58" t="s">
        <v>6</v>
      </c>
      <c r="G64" s="59" t="s">
        <v>7</v>
      </c>
      <c r="H64" s="36"/>
      <c r="I64" s="103"/>
      <c r="J64" s="58" t="s">
        <v>2</v>
      </c>
      <c r="K64" s="58" t="s">
        <v>3</v>
      </c>
      <c r="L64" s="58" t="s">
        <v>4</v>
      </c>
      <c r="M64" s="58" t="s">
        <v>5</v>
      </c>
      <c r="N64" s="58" t="s">
        <v>6</v>
      </c>
      <c r="O64" s="59" t="s">
        <v>7</v>
      </c>
      <c r="R64" s="2" t="str">
        <f aca="true" t="shared" si="24" ref="R64:W64">+B64</f>
        <v>S1R1</v>
      </c>
      <c r="S64" s="2" t="str">
        <f t="shared" si="24"/>
        <v>S1R2</v>
      </c>
      <c r="T64" s="2" t="str">
        <f t="shared" si="24"/>
        <v>S1R3</v>
      </c>
      <c r="U64" s="2" t="str">
        <f t="shared" si="24"/>
        <v>S2R1</v>
      </c>
      <c r="V64" s="2" t="str">
        <f t="shared" si="24"/>
        <v>S2R2</v>
      </c>
      <c r="W64" s="2" t="str">
        <f t="shared" si="24"/>
        <v>S2R3</v>
      </c>
      <c r="Z64" s="36"/>
      <c r="AA64" s="36"/>
      <c r="AB64" s="36"/>
      <c r="AC64" s="36"/>
      <c r="AD64" s="36"/>
      <c r="AE64" s="36"/>
      <c r="AF64" s="36"/>
    </row>
    <row r="65" spans="1:32" ht="15">
      <c r="A65" s="60" t="s">
        <v>8</v>
      </c>
      <c r="B65" s="68">
        <v>1.1913333333333331</v>
      </c>
      <c r="C65" s="68">
        <v>1.1906666666666665</v>
      </c>
      <c r="D65" s="68">
        <v>1.1853333333333331</v>
      </c>
      <c r="E65" s="68">
        <v>1.1906666666666665</v>
      </c>
      <c r="F65" s="68">
        <v>1.2033333333333334</v>
      </c>
      <c r="G65" s="68">
        <v>1.2006666666666668</v>
      </c>
      <c r="H65" s="36">
        <f>AVERAGE(B65:G65)</f>
        <v>1.1936666666666664</v>
      </c>
      <c r="I65" s="108" t="s">
        <v>8</v>
      </c>
      <c r="J65" s="36">
        <v>0.8206666666666665</v>
      </c>
      <c r="K65" s="36">
        <v>0.834</v>
      </c>
      <c r="L65" s="36">
        <v>0.8226666666666667</v>
      </c>
      <c r="M65" s="36">
        <v>0.8153333333333335</v>
      </c>
      <c r="N65" s="36">
        <v>0.8253333333333334</v>
      </c>
      <c r="O65" s="36">
        <v>0.8286666666666667</v>
      </c>
      <c r="P65" s="36">
        <f>AVERAGE(J65:O65)</f>
        <v>0.8244444444444444</v>
      </c>
      <c r="Q65" s="2" t="str">
        <f aca="true" t="shared" si="25" ref="Q65:Q73">+A65</f>
        <v>T30/s</v>
      </c>
      <c r="R65" s="36">
        <f>+B65-J65</f>
        <v>0.3706666666666666</v>
      </c>
      <c r="S65" s="36">
        <f aca="true" t="shared" si="26" ref="S65:W73">+C65-K65</f>
        <v>0.3566666666666666</v>
      </c>
      <c r="T65" s="36">
        <f t="shared" si="26"/>
        <v>0.36266666666666647</v>
      </c>
      <c r="U65" s="36">
        <f t="shared" si="26"/>
        <v>0.3753333333333331</v>
      </c>
      <c r="V65" s="36">
        <f t="shared" si="26"/>
        <v>0.378</v>
      </c>
      <c r="W65" s="36">
        <f t="shared" si="26"/>
        <v>0.3720000000000001</v>
      </c>
      <c r="Z65" s="36"/>
      <c r="AA65" s="36"/>
      <c r="AB65" s="36"/>
      <c r="AC65" s="36"/>
      <c r="AD65" s="36"/>
      <c r="AE65" s="36"/>
      <c r="AF65" s="36"/>
    </row>
    <row r="66" spans="1:32" ht="15">
      <c r="A66" s="60" t="s">
        <v>9</v>
      </c>
      <c r="B66" s="36">
        <v>1.17</v>
      </c>
      <c r="C66" s="36">
        <v>1.1473333333333335</v>
      </c>
      <c r="D66" s="36">
        <v>1.27</v>
      </c>
      <c r="E66" s="36">
        <v>1.2213333333333334</v>
      </c>
      <c r="F66" s="36">
        <v>1.2233333333333334</v>
      </c>
      <c r="G66" s="36">
        <v>1.1666666666666665</v>
      </c>
      <c r="H66" s="36">
        <f>AVERAGE(B66:G66)</f>
        <v>1.199777777777778</v>
      </c>
      <c r="I66" s="108" t="s">
        <v>9</v>
      </c>
      <c r="J66" s="36">
        <v>0.7506666666666667</v>
      </c>
      <c r="K66" s="36">
        <v>0.76</v>
      </c>
      <c r="L66" s="36">
        <v>0.85</v>
      </c>
      <c r="M66" s="36">
        <v>0.8433333333333334</v>
      </c>
      <c r="N66" s="36">
        <v>0.81</v>
      </c>
      <c r="O66" s="36">
        <v>0.79</v>
      </c>
      <c r="P66" s="36">
        <f>AVERAGE(J66:O66)</f>
        <v>0.8006666666666667</v>
      </c>
      <c r="Q66" s="2" t="str">
        <f t="shared" si="25"/>
        <v>EDT/s</v>
      </c>
      <c r="R66" s="36">
        <f aca="true" t="shared" si="27" ref="R66:R73">+B66-J66</f>
        <v>0.4193333333333332</v>
      </c>
      <c r="S66" s="36">
        <f t="shared" si="26"/>
        <v>0.38733333333333353</v>
      </c>
      <c r="T66" s="36">
        <f t="shared" si="26"/>
        <v>0.42000000000000004</v>
      </c>
      <c r="U66" s="36">
        <f t="shared" si="26"/>
        <v>0.378</v>
      </c>
      <c r="V66" s="36">
        <f t="shared" si="26"/>
        <v>0.41333333333333333</v>
      </c>
      <c r="W66" s="36">
        <f t="shared" si="26"/>
        <v>0.3766666666666665</v>
      </c>
      <c r="Z66" s="36"/>
      <c r="AA66" s="36"/>
      <c r="AB66" s="36"/>
      <c r="AC66" s="36"/>
      <c r="AD66" s="36"/>
      <c r="AE66" s="36"/>
      <c r="AF66" s="36"/>
    </row>
    <row r="67" spans="1:32" ht="15">
      <c r="A67" s="60" t="s">
        <v>10</v>
      </c>
      <c r="B67" s="36">
        <v>51.60666666666667</v>
      </c>
      <c r="C67" s="36">
        <v>55.37820000000001</v>
      </c>
      <c r="D67" s="36">
        <v>43.70773333333334</v>
      </c>
      <c r="E67" s="36">
        <v>50.1154</v>
      </c>
      <c r="F67" s="36">
        <v>43.36606666666667</v>
      </c>
      <c r="G67" s="36">
        <v>53.22339999999999</v>
      </c>
      <c r="H67" s="36">
        <f aca="true" t="shared" si="28" ref="H67:H73">AVERAGE(B67:G67)</f>
        <v>49.56624444444444</v>
      </c>
      <c r="I67" s="108" t="s">
        <v>10</v>
      </c>
      <c r="J67" s="36">
        <v>63.81113333333333</v>
      </c>
      <c r="K67" s="36">
        <v>67.08626666666666</v>
      </c>
      <c r="L67" s="36">
        <v>58.63706666666667</v>
      </c>
      <c r="M67" s="36">
        <v>63.598800000000004</v>
      </c>
      <c r="N67" s="36">
        <v>56.94246666666667</v>
      </c>
      <c r="O67" s="36">
        <v>67.2532</v>
      </c>
      <c r="P67" s="36">
        <f aca="true" t="shared" si="29" ref="P67:P73">AVERAGE(J67:O67)</f>
        <v>62.88815555555556</v>
      </c>
      <c r="Q67" s="2" t="str">
        <f t="shared" si="25"/>
        <v>D/%</v>
      </c>
      <c r="R67" s="36">
        <f t="shared" si="27"/>
        <v>-12.204466666666661</v>
      </c>
      <c r="S67" s="36">
        <f t="shared" si="26"/>
        <v>-11.708066666666653</v>
      </c>
      <c r="T67" s="36">
        <f t="shared" si="26"/>
        <v>-14.929333333333332</v>
      </c>
      <c r="U67" s="36">
        <f t="shared" si="26"/>
        <v>-13.483400000000003</v>
      </c>
      <c r="V67" s="36">
        <f t="shared" si="26"/>
        <v>-13.5764</v>
      </c>
      <c r="W67" s="36">
        <f t="shared" si="26"/>
        <v>-14.029800000000016</v>
      </c>
      <c r="Z67" s="36"/>
      <c r="AA67" s="36"/>
      <c r="AB67" s="36"/>
      <c r="AC67" s="36"/>
      <c r="AD67" s="36"/>
      <c r="AE67" s="36"/>
      <c r="AF67" s="36"/>
    </row>
    <row r="68" spans="1:32" ht="15">
      <c r="A68" s="60" t="s">
        <v>11</v>
      </c>
      <c r="B68" s="36">
        <v>3.128748849207323</v>
      </c>
      <c r="C68" s="36">
        <v>3.361935303615715</v>
      </c>
      <c r="D68" s="36">
        <v>1.6520427596251437</v>
      </c>
      <c r="E68" s="36">
        <v>2.5086716682826142</v>
      </c>
      <c r="F68" s="36">
        <v>1.7245519906165243</v>
      </c>
      <c r="G68" s="36">
        <v>3.204756125184249</v>
      </c>
      <c r="H68" s="36">
        <f t="shared" si="28"/>
        <v>2.596784449421928</v>
      </c>
      <c r="I68" s="108" t="s">
        <v>11</v>
      </c>
      <c r="J68" s="36">
        <v>6.074764298885446</v>
      </c>
      <c r="K68" s="36">
        <v>6.045513823527623</v>
      </c>
      <c r="L68" s="36">
        <v>4.65308245070655</v>
      </c>
      <c r="M68" s="36">
        <v>5.456847047534042</v>
      </c>
      <c r="N68" s="36">
        <v>4.973955512910859</v>
      </c>
      <c r="O68" s="36">
        <v>6.081178677780569</v>
      </c>
      <c r="P68" s="36">
        <f t="shared" si="29"/>
        <v>5.547556968557514</v>
      </c>
      <c r="Q68" s="2" t="str">
        <f t="shared" si="25"/>
        <v>C/dB</v>
      </c>
      <c r="R68" s="36">
        <f t="shared" si="27"/>
        <v>-2.9460154496781232</v>
      </c>
      <c r="S68" s="36">
        <f t="shared" si="26"/>
        <v>-2.6835785199119075</v>
      </c>
      <c r="T68" s="36">
        <f t="shared" si="26"/>
        <v>-3.001039691081406</v>
      </c>
      <c r="U68" s="36">
        <f t="shared" si="26"/>
        <v>-2.948175379251428</v>
      </c>
      <c r="V68" s="36">
        <f t="shared" si="26"/>
        <v>-3.2494035222943345</v>
      </c>
      <c r="W68" s="36">
        <f t="shared" si="26"/>
        <v>-2.87642255259632</v>
      </c>
      <c r="Z68" s="36"/>
      <c r="AA68" s="36"/>
      <c r="AB68" s="36"/>
      <c r="AC68" s="36"/>
      <c r="AD68" s="36"/>
      <c r="AE68" s="36"/>
      <c r="AF68" s="36"/>
    </row>
    <row r="69" spans="1:32" ht="15">
      <c r="A69" s="60" t="s">
        <v>12</v>
      </c>
      <c r="B69" s="36">
        <v>78.24719999999999</v>
      </c>
      <c r="C69" s="36">
        <v>71.73233333333334</v>
      </c>
      <c r="D69" s="36">
        <v>88.71373333333334</v>
      </c>
      <c r="E69" s="36">
        <v>78.95473333333332</v>
      </c>
      <c r="F69" s="36">
        <v>87.61640000000001</v>
      </c>
      <c r="G69" s="36">
        <v>73.24073333333334</v>
      </c>
      <c r="H69" s="36">
        <f t="shared" si="28"/>
        <v>79.75085555555556</v>
      </c>
      <c r="I69" s="108" t="s">
        <v>12</v>
      </c>
      <c r="J69" s="36">
        <v>52.278600000000004</v>
      </c>
      <c r="K69" s="36">
        <v>48.08626666666666</v>
      </c>
      <c r="L69" s="36">
        <v>59.14353333333334</v>
      </c>
      <c r="M69" s="36">
        <v>51.83613333333333</v>
      </c>
      <c r="N69" s="36">
        <v>58.673</v>
      </c>
      <c r="O69" s="36">
        <v>47.16393333333333</v>
      </c>
      <c r="P69" s="36">
        <f t="shared" si="29"/>
        <v>52.86357777777777</v>
      </c>
      <c r="Q69" s="2" t="str">
        <f t="shared" si="25"/>
        <v>TS/ms</v>
      </c>
      <c r="R69" s="36">
        <f t="shared" si="27"/>
        <v>25.968599999999988</v>
      </c>
      <c r="S69" s="36">
        <f t="shared" si="26"/>
        <v>23.646066666666684</v>
      </c>
      <c r="T69" s="36">
        <f t="shared" si="26"/>
        <v>29.5702</v>
      </c>
      <c r="U69" s="36">
        <f t="shared" si="26"/>
        <v>27.118599999999994</v>
      </c>
      <c r="V69" s="36">
        <f t="shared" si="26"/>
        <v>28.94340000000001</v>
      </c>
      <c r="W69" s="36">
        <f t="shared" si="26"/>
        <v>26.076800000000006</v>
      </c>
      <c r="Z69" s="36"/>
      <c r="AA69" s="36"/>
      <c r="AB69" s="36"/>
      <c r="AC69" s="36"/>
      <c r="AD69" s="36"/>
      <c r="AE69" s="36"/>
      <c r="AF69" s="36"/>
    </row>
    <row r="70" spans="1:32" ht="15">
      <c r="A70" s="60" t="s">
        <v>13</v>
      </c>
      <c r="B70" s="36">
        <v>20.368210184830808</v>
      </c>
      <c r="C70" s="36">
        <v>21.16994766842759</v>
      </c>
      <c r="D70" s="36">
        <v>19.424799012521994</v>
      </c>
      <c r="E70" s="36">
        <v>20.36061437379523</v>
      </c>
      <c r="F70" s="36">
        <v>20.13125572778169</v>
      </c>
      <c r="G70" s="36">
        <v>20.75168554744252</v>
      </c>
      <c r="H70" s="36">
        <f t="shared" si="28"/>
        <v>20.36775208579997</v>
      </c>
      <c r="I70" s="108" t="s">
        <v>13</v>
      </c>
      <c r="J70" s="36">
        <v>18.368888656897383</v>
      </c>
      <c r="K70" s="36">
        <v>19.70880449407495</v>
      </c>
      <c r="L70" s="36">
        <v>17.752486829686337</v>
      </c>
      <c r="M70" s="36">
        <v>18.769544141375484</v>
      </c>
      <c r="N70" s="36">
        <v>18.74711017127377</v>
      </c>
      <c r="O70" s="36">
        <v>19.393575151016428</v>
      </c>
      <c r="P70" s="36">
        <f t="shared" si="29"/>
        <v>18.79006824072073</v>
      </c>
      <c r="Q70" s="2" t="str">
        <f t="shared" si="25"/>
        <v>G/dB</v>
      </c>
      <c r="R70" s="36">
        <f t="shared" si="27"/>
        <v>1.999321527933425</v>
      </c>
      <c r="S70" s="36">
        <f t="shared" si="26"/>
        <v>1.4611431743526389</v>
      </c>
      <c r="T70" s="36">
        <f t="shared" si="26"/>
        <v>1.6723121828356575</v>
      </c>
      <c r="U70" s="36">
        <f t="shared" si="26"/>
        <v>1.5910702324197459</v>
      </c>
      <c r="V70" s="36">
        <f t="shared" si="26"/>
        <v>1.3841455565079173</v>
      </c>
      <c r="W70" s="36">
        <f t="shared" si="26"/>
        <v>1.3581103964260919</v>
      </c>
      <c r="Z70" s="36"/>
      <c r="AA70" s="36"/>
      <c r="AB70" s="36"/>
      <c r="AC70" s="36"/>
      <c r="AD70" s="36"/>
      <c r="AE70" s="36"/>
      <c r="AF70" s="36"/>
    </row>
    <row r="71" spans="1:32" ht="15">
      <c r="A71" s="60" t="s">
        <v>14</v>
      </c>
      <c r="B71" s="36">
        <v>24.293666666666667</v>
      </c>
      <c r="C71" s="36">
        <v>18.939</v>
      </c>
      <c r="D71" s="36">
        <v>25.282666666666668</v>
      </c>
      <c r="E71" s="36">
        <v>23.54</v>
      </c>
      <c r="F71" s="36">
        <v>21.691000000000003</v>
      </c>
      <c r="G71" s="36">
        <v>18.877333333333333</v>
      </c>
      <c r="H71" s="36">
        <f t="shared" si="28"/>
        <v>22.10394444444444</v>
      </c>
      <c r="I71" s="110" t="s">
        <v>14</v>
      </c>
      <c r="J71" s="36">
        <v>21.510666666666665</v>
      </c>
      <c r="K71" s="36">
        <v>21.663666666666668</v>
      </c>
      <c r="L71" s="36">
        <v>21.713333333333335</v>
      </c>
      <c r="M71" s="36">
        <v>18.833333333333332</v>
      </c>
      <c r="N71" s="36">
        <v>19.468333333333334</v>
      </c>
      <c r="O71" s="36">
        <v>18.401666666666667</v>
      </c>
      <c r="P71" s="36">
        <f t="shared" si="29"/>
        <v>20.26516666666667</v>
      </c>
      <c r="Q71" s="2" t="str">
        <f t="shared" si="25"/>
        <v>LF/%</v>
      </c>
      <c r="R71" s="36">
        <f t="shared" si="27"/>
        <v>2.7830000000000013</v>
      </c>
      <c r="S71" s="36">
        <f t="shared" si="26"/>
        <v>-2.7246666666666677</v>
      </c>
      <c r="T71" s="36">
        <f t="shared" si="26"/>
        <v>3.569333333333333</v>
      </c>
      <c r="U71" s="36">
        <f t="shared" si="26"/>
        <v>4.706666666666667</v>
      </c>
      <c r="V71" s="36">
        <f t="shared" si="26"/>
        <v>2.222666666666669</v>
      </c>
      <c r="W71" s="36">
        <f t="shared" si="26"/>
        <v>0.47566666666666535</v>
      </c>
      <c r="Z71"/>
      <c r="AA71"/>
      <c r="AB71"/>
      <c r="AC71"/>
      <c r="AD71"/>
      <c r="AE71"/>
      <c r="AF71"/>
    </row>
    <row r="72" spans="1:32" ht="15">
      <c r="A72" s="60" t="s">
        <v>15</v>
      </c>
      <c r="B72" s="36">
        <v>34.06733333333333</v>
      </c>
      <c r="C72" s="36">
        <v>28.252</v>
      </c>
      <c r="D72" s="36">
        <v>34.37866666666667</v>
      </c>
      <c r="E72" s="36">
        <v>32.123</v>
      </c>
      <c r="F72" s="36">
        <v>30.645333333333337</v>
      </c>
      <c r="G72" s="36">
        <v>30.913</v>
      </c>
      <c r="H72" s="36">
        <f t="shared" si="28"/>
        <v>31.72988888888889</v>
      </c>
      <c r="I72" s="110" t="s">
        <v>15</v>
      </c>
      <c r="J72" s="36">
        <v>28.132666666666665</v>
      </c>
      <c r="K72" s="36">
        <v>31.073000000000004</v>
      </c>
      <c r="L72" s="36">
        <v>30.364</v>
      </c>
      <c r="M72" s="36">
        <v>27.01533333333333</v>
      </c>
      <c r="N72" s="36">
        <v>28.488666666666663</v>
      </c>
      <c r="O72" s="36">
        <v>29.225</v>
      </c>
      <c r="P72" s="36">
        <f t="shared" si="29"/>
        <v>29.049777777777777</v>
      </c>
      <c r="Q72" s="2" t="str">
        <f t="shared" si="25"/>
        <v>LFC/%</v>
      </c>
      <c r="R72" s="36">
        <f t="shared" si="27"/>
        <v>5.934666666666665</v>
      </c>
      <c r="S72" s="36">
        <f t="shared" si="26"/>
        <v>-2.821000000000005</v>
      </c>
      <c r="T72" s="36">
        <f t="shared" si="26"/>
        <v>4.014666666666667</v>
      </c>
      <c r="U72" s="36">
        <f t="shared" si="26"/>
        <v>5.107666666666667</v>
      </c>
      <c r="V72" s="36">
        <f t="shared" si="26"/>
        <v>2.1566666666666734</v>
      </c>
      <c r="W72" s="36">
        <f t="shared" si="26"/>
        <v>1.6879999999999988</v>
      </c>
      <c r="Z72" s="36"/>
      <c r="AA72" s="36"/>
      <c r="AB72" s="36"/>
      <c r="AC72" s="36"/>
      <c r="AD72" s="36"/>
      <c r="AE72" s="36"/>
      <c r="AF72" s="36"/>
    </row>
    <row r="73" spans="1:32" ht="15">
      <c r="A73" s="61" t="s">
        <v>16</v>
      </c>
      <c r="B73" s="36">
        <v>0.29934000000000005</v>
      </c>
      <c r="C73" s="36">
        <v>0.29846</v>
      </c>
      <c r="D73" s="36">
        <v>0.1803266666666667</v>
      </c>
      <c r="E73" s="36">
        <v>0.3143266666666667</v>
      </c>
      <c r="F73" s="36">
        <v>0.24742000000000003</v>
      </c>
      <c r="G73" s="36">
        <v>0.35714666666666667</v>
      </c>
      <c r="H73" s="36">
        <f t="shared" si="28"/>
        <v>0.2828366666666667</v>
      </c>
      <c r="I73" s="108" t="s">
        <v>16</v>
      </c>
      <c r="J73" s="36">
        <v>0.39371333333333336</v>
      </c>
      <c r="K73" s="36">
        <v>0.37068</v>
      </c>
      <c r="L73" s="36">
        <v>0.21386666666666665</v>
      </c>
      <c r="M73" s="36">
        <v>0.3685266666666666</v>
      </c>
      <c r="N73" s="36">
        <v>0.2614916666666667</v>
      </c>
      <c r="O73" s="36">
        <v>0.41912000000000005</v>
      </c>
      <c r="P73" s="36">
        <f t="shared" si="29"/>
        <v>0.3378997222222222</v>
      </c>
      <c r="Q73" s="2" t="str">
        <f t="shared" si="25"/>
        <v>IACC</v>
      </c>
      <c r="R73" s="36">
        <f t="shared" si="27"/>
        <v>-0.09437333333333331</v>
      </c>
      <c r="S73" s="36">
        <f t="shared" si="26"/>
        <v>-0.07222</v>
      </c>
      <c r="T73" s="36">
        <f t="shared" si="26"/>
        <v>-0.03353999999999996</v>
      </c>
      <c r="U73" s="36">
        <f t="shared" si="26"/>
        <v>-0.054199999999999915</v>
      </c>
      <c r="V73" s="36">
        <f t="shared" si="26"/>
        <v>-0.014071666666666649</v>
      </c>
      <c r="W73" s="36">
        <f t="shared" si="26"/>
        <v>-0.06197333333333338</v>
      </c>
      <c r="Z73" s="36"/>
      <c r="AA73" s="36"/>
      <c r="AB73" s="36"/>
      <c r="AC73" s="36"/>
      <c r="AD73" s="36"/>
      <c r="AE73" s="36"/>
      <c r="AF73" s="36"/>
    </row>
    <row r="74" spans="1:32" ht="15">
      <c r="A74"/>
      <c r="B74"/>
      <c r="C74"/>
      <c r="D74"/>
      <c r="E74"/>
      <c r="F74"/>
      <c r="G74"/>
      <c r="H74" s="36"/>
      <c r="I74" s="102"/>
      <c r="R74" s="2"/>
      <c r="S74" s="2"/>
      <c r="T74" s="2"/>
      <c r="U74" s="2"/>
      <c r="V74" s="2"/>
      <c r="W74" s="2"/>
      <c r="Z74" s="36"/>
      <c r="AA74" s="36"/>
      <c r="AB74" s="36"/>
      <c r="AC74" s="36"/>
      <c r="AD74" s="36"/>
      <c r="AE74" s="36"/>
      <c r="AF74" s="36"/>
    </row>
    <row r="75" spans="1:32" ht="15.75">
      <c r="A75" s="54" t="s">
        <v>21</v>
      </c>
      <c r="B75" s="55" t="s">
        <v>1</v>
      </c>
      <c r="C75" s="53"/>
      <c r="D75" s="53"/>
      <c r="E75" s="53"/>
      <c r="F75" s="53"/>
      <c r="G75" s="56"/>
      <c r="H75" s="36"/>
      <c r="I75" s="102" t="s">
        <v>21</v>
      </c>
      <c r="J75" s="55" t="s">
        <v>1</v>
      </c>
      <c r="K75" s="53"/>
      <c r="L75" s="53"/>
      <c r="M75" s="53"/>
      <c r="N75" s="53"/>
      <c r="O75" s="56"/>
      <c r="Q75" s="2" t="str">
        <f>+A75</f>
        <v>4000 Hz</v>
      </c>
      <c r="R75" s="2" t="str">
        <f>+B75</f>
        <v>octave</v>
      </c>
      <c r="S75" s="2"/>
      <c r="T75" s="2"/>
      <c r="U75" s="2"/>
      <c r="V75" s="2"/>
      <c r="W75" s="2"/>
      <c r="Z75" s="36"/>
      <c r="AA75" s="36"/>
      <c r="AB75" s="36"/>
      <c r="AC75" s="36"/>
      <c r="AD75" s="36"/>
      <c r="AE75" s="36"/>
      <c r="AF75" s="36"/>
    </row>
    <row r="76" spans="1:32" ht="15">
      <c r="A76" s="57"/>
      <c r="B76" s="58" t="s">
        <v>2</v>
      </c>
      <c r="C76" s="58" t="s">
        <v>3</v>
      </c>
      <c r="D76" s="58" t="s">
        <v>4</v>
      </c>
      <c r="E76" s="58" t="s">
        <v>5</v>
      </c>
      <c r="F76" s="58" t="s">
        <v>6</v>
      </c>
      <c r="G76" s="59" t="s">
        <v>7</v>
      </c>
      <c r="H76" s="36"/>
      <c r="I76" s="103"/>
      <c r="J76" s="58" t="s">
        <v>2</v>
      </c>
      <c r="K76" s="58" t="s">
        <v>3</v>
      </c>
      <c r="L76" s="58" t="s">
        <v>4</v>
      </c>
      <c r="M76" s="58" t="s">
        <v>5</v>
      </c>
      <c r="N76" s="58" t="s">
        <v>6</v>
      </c>
      <c r="O76" s="59" t="s">
        <v>7</v>
      </c>
      <c r="R76" s="2" t="str">
        <f aca="true" t="shared" si="30" ref="R76:W76">+B76</f>
        <v>S1R1</v>
      </c>
      <c r="S76" s="2" t="str">
        <f t="shared" si="30"/>
        <v>S1R2</v>
      </c>
      <c r="T76" s="2" t="str">
        <f t="shared" si="30"/>
        <v>S1R3</v>
      </c>
      <c r="U76" s="2" t="str">
        <f t="shared" si="30"/>
        <v>S2R1</v>
      </c>
      <c r="V76" s="2" t="str">
        <f t="shared" si="30"/>
        <v>S2R2</v>
      </c>
      <c r="W76" s="2" t="str">
        <f t="shared" si="30"/>
        <v>S2R3</v>
      </c>
      <c r="Z76" s="36"/>
      <c r="AA76" s="36"/>
      <c r="AB76" s="36"/>
      <c r="AC76" s="36"/>
      <c r="AD76" s="36"/>
      <c r="AE76" s="36"/>
      <c r="AF76" s="36"/>
    </row>
    <row r="77" spans="1:32" ht="15">
      <c r="A77" s="60" t="s">
        <v>8</v>
      </c>
      <c r="B77" s="68">
        <v>1.0746666666666667</v>
      </c>
      <c r="C77" s="68">
        <v>1.078</v>
      </c>
      <c r="D77" s="68">
        <v>1.0786666666666669</v>
      </c>
      <c r="E77" s="68">
        <v>1.074</v>
      </c>
      <c r="F77" s="68">
        <v>1.0746666666666667</v>
      </c>
      <c r="G77" s="68">
        <v>1.088666666666667</v>
      </c>
      <c r="H77" s="36">
        <f>AVERAGE(B77:G77)</f>
        <v>1.078111111111111</v>
      </c>
      <c r="I77" s="108" t="s">
        <v>8</v>
      </c>
      <c r="J77" s="36">
        <v>0.7386666666666667</v>
      </c>
      <c r="K77" s="36">
        <v>0.7406666666666666</v>
      </c>
      <c r="L77" s="36">
        <v>0.7553333333333334</v>
      </c>
      <c r="M77" s="36">
        <v>0.7466666666666667</v>
      </c>
      <c r="N77" s="36">
        <v>0.7413333333333334</v>
      </c>
      <c r="O77" s="36">
        <v>0.7360000000000001</v>
      </c>
      <c r="P77" s="36">
        <f>AVERAGE(J77:O77)</f>
        <v>0.7431111111111112</v>
      </c>
      <c r="Q77" s="2" t="str">
        <f aca="true" t="shared" si="31" ref="Q77:Q85">+A77</f>
        <v>T30/s</v>
      </c>
      <c r="R77" s="36">
        <f>+B77-J77</f>
        <v>0.33599999999999997</v>
      </c>
      <c r="S77" s="36">
        <f aca="true" t="shared" si="32" ref="S77:W85">+C77-K77</f>
        <v>0.3373333333333335</v>
      </c>
      <c r="T77" s="36">
        <f t="shared" si="32"/>
        <v>0.3233333333333335</v>
      </c>
      <c r="U77" s="36">
        <f t="shared" si="32"/>
        <v>0.32733333333333337</v>
      </c>
      <c r="V77" s="36">
        <f t="shared" si="32"/>
        <v>0.33333333333333326</v>
      </c>
      <c r="W77" s="36">
        <f t="shared" si="32"/>
        <v>0.3526666666666668</v>
      </c>
      <c r="Z77" s="36"/>
      <c r="AA77" s="36"/>
      <c r="AB77" s="36"/>
      <c r="AC77" s="36"/>
      <c r="AD77" s="36"/>
      <c r="AE77" s="36"/>
      <c r="AF77" s="36"/>
    </row>
    <row r="78" spans="1:32" ht="15">
      <c r="A78" s="60" t="s">
        <v>9</v>
      </c>
      <c r="B78" s="36">
        <v>1.0446666666666666</v>
      </c>
      <c r="C78" s="36">
        <v>0.9826666666666666</v>
      </c>
      <c r="D78" s="36">
        <v>1.072</v>
      </c>
      <c r="E78" s="36">
        <v>1.034</v>
      </c>
      <c r="F78" s="36">
        <v>1.112</v>
      </c>
      <c r="G78" s="36">
        <v>0.9713333333333333</v>
      </c>
      <c r="H78" s="36">
        <f>AVERAGE(B78:G78)</f>
        <v>1.036111111111111</v>
      </c>
      <c r="I78" s="108" t="s">
        <v>9</v>
      </c>
      <c r="J78" s="36">
        <v>0.708</v>
      </c>
      <c r="K78" s="36">
        <v>0.6773333333333332</v>
      </c>
      <c r="L78" s="36">
        <v>0.7353333333333334</v>
      </c>
      <c r="M78" s="36">
        <v>0.7393333333333333</v>
      </c>
      <c r="N78" s="36">
        <v>0.77</v>
      </c>
      <c r="O78" s="36">
        <v>0.6973333333333334</v>
      </c>
      <c r="P78" s="36">
        <f>AVERAGE(J78:O78)</f>
        <v>0.7212222222222223</v>
      </c>
      <c r="Q78" s="2" t="str">
        <f t="shared" si="31"/>
        <v>EDT/s</v>
      </c>
      <c r="R78" s="36">
        <f aca="true" t="shared" si="33" ref="R78:R85">+B78-J78</f>
        <v>0.33666666666666667</v>
      </c>
      <c r="S78" s="36">
        <f t="shared" si="32"/>
        <v>0.30533333333333335</v>
      </c>
      <c r="T78" s="36">
        <f t="shared" si="32"/>
        <v>0.33666666666666667</v>
      </c>
      <c r="U78" s="36">
        <f t="shared" si="32"/>
        <v>0.29466666666666674</v>
      </c>
      <c r="V78" s="36">
        <f t="shared" si="32"/>
        <v>0.3420000000000001</v>
      </c>
      <c r="W78" s="36">
        <f t="shared" si="32"/>
        <v>0.2739999999999999</v>
      </c>
      <c r="Z78" s="36"/>
      <c r="AA78" s="36"/>
      <c r="AB78" s="36"/>
      <c r="AC78" s="36"/>
      <c r="AD78" s="36"/>
      <c r="AE78" s="36"/>
      <c r="AF78" s="36"/>
    </row>
    <row r="79" spans="1:32" ht="15">
      <c r="A79" s="60" t="s">
        <v>10</v>
      </c>
      <c r="B79" s="36">
        <v>49.82013333333333</v>
      </c>
      <c r="C79" s="36">
        <v>57.468933333333325</v>
      </c>
      <c r="D79" s="36">
        <v>49.4882</v>
      </c>
      <c r="E79" s="36">
        <v>52.59533333333333</v>
      </c>
      <c r="F79" s="36">
        <v>46.04193333333333</v>
      </c>
      <c r="G79" s="36">
        <v>59.8882</v>
      </c>
      <c r="H79" s="36">
        <f aca="true" t="shared" si="34" ref="H79:H85">AVERAGE(B79:G79)</f>
        <v>52.55045555555555</v>
      </c>
      <c r="I79" s="108" t="s">
        <v>10</v>
      </c>
      <c r="J79" s="36">
        <v>64.66213333333333</v>
      </c>
      <c r="K79" s="36">
        <v>69.48766666666667</v>
      </c>
      <c r="L79" s="36">
        <v>62.947466666666664</v>
      </c>
      <c r="M79" s="36">
        <v>66.37839999999998</v>
      </c>
      <c r="N79" s="36">
        <v>60.71746666666667</v>
      </c>
      <c r="O79" s="36">
        <v>69.72540000000001</v>
      </c>
      <c r="P79" s="36">
        <f aca="true" t="shared" si="35" ref="P79:P85">AVERAGE(J79:O79)</f>
        <v>65.65308888888889</v>
      </c>
      <c r="Q79" s="2" t="str">
        <f t="shared" si="31"/>
        <v>D/%</v>
      </c>
      <c r="R79" s="36">
        <f t="shared" si="33"/>
        <v>-14.841999999999999</v>
      </c>
      <c r="S79" s="36">
        <f t="shared" si="32"/>
        <v>-12.018733333333344</v>
      </c>
      <c r="T79" s="36">
        <f t="shared" si="32"/>
        <v>-13.459266666666664</v>
      </c>
      <c r="U79" s="36">
        <f t="shared" si="32"/>
        <v>-13.783066666666656</v>
      </c>
      <c r="V79" s="36">
        <f t="shared" si="32"/>
        <v>-14.675533333333334</v>
      </c>
      <c r="W79" s="36">
        <f t="shared" si="32"/>
        <v>-9.83720000000001</v>
      </c>
      <c r="Z79" s="36"/>
      <c r="AA79" s="36"/>
      <c r="AB79" s="36"/>
      <c r="AC79" s="36"/>
      <c r="AD79" s="36"/>
      <c r="AE79" s="36"/>
      <c r="AF79" s="36"/>
    </row>
    <row r="80" spans="1:32" ht="15">
      <c r="A80" s="60" t="s">
        <v>11</v>
      </c>
      <c r="B80" s="36">
        <v>2.9288565934090607</v>
      </c>
      <c r="C80" s="36">
        <v>4.40659058086933</v>
      </c>
      <c r="D80" s="36">
        <v>2.6408629636865855</v>
      </c>
      <c r="E80" s="36">
        <v>3.2195282372484764</v>
      </c>
      <c r="F80" s="36">
        <v>2.3559022188262726</v>
      </c>
      <c r="G80" s="36">
        <v>4.496455310560762</v>
      </c>
      <c r="H80" s="36">
        <f t="shared" si="34"/>
        <v>3.341365984100081</v>
      </c>
      <c r="I80" s="108" t="s">
        <v>11</v>
      </c>
      <c r="J80" s="36">
        <v>6.0892469644636105</v>
      </c>
      <c r="K80" s="36">
        <v>7.017540985453637</v>
      </c>
      <c r="L80" s="36">
        <v>5.630517678902157</v>
      </c>
      <c r="M80" s="36">
        <v>6.22352296315989</v>
      </c>
      <c r="N80" s="36">
        <v>5.36658132015792</v>
      </c>
      <c r="O80" s="36">
        <v>6.798828249750258</v>
      </c>
      <c r="P80" s="36">
        <f t="shared" si="35"/>
        <v>6.1877063603145785</v>
      </c>
      <c r="Q80" s="2" t="str">
        <f t="shared" si="31"/>
        <v>C/dB</v>
      </c>
      <c r="R80" s="36">
        <f t="shared" si="33"/>
        <v>-3.16039037105455</v>
      </c>
      <c r="S80" s="36">
        <f t="shared" si="32"/>
        <v>-2.6109504045843073</v>
      </c>
      <c r="T80" s="36">
        <f t="shared" si="32"/>
        <v>-2.9896547152155715</v>
      </c>
      <c r="U80" s="36">
        <f t="shared" si="32"/>
        <v>-3.0039947259114133</v>
      </c>
      <c r="V80" s="36">
        <f t="shared" si="32"/>
        <v>-3.010679101331647</v>
      </c>
      <c r="W80" s="36">
        <f t="shared" si="32"/>
        <v>-2.302372939189496</v>
      </c>
      <c r="Z80" s="36"/>
      <c r="AA80" s="36"/>
      <c r="AB80" s="36"/>
      <c r="AC80" s="36"/>
      <c r="AD80" s="36"/>
      <c r="AE80" s="36"/>
      <c r="AF80" s="36"/>
    </row>
    <row r="81" spans="1:32" ht="15">
      <c r="A81" s="60" t="s">
        <v>12</v>
      </c>
      <c r="B81" s="36">
        <v>74.57473333333333</v>
      </c>
      <c r="C81" s="36">
        <v>62.67833333333334</v>
      </c>
      <c r="D81" s="36">
        <v>75.61319999999999</v>
      </c>
      <c r="E81" s="36">
        <v>69.18279999999999</v>
      </c>
      <c r="F81" s="36">
        <v>78.72933333333333</v>
      </c>
      <c r="G81" s="36">
        <v>61.26873333333333</v>
      </c>
      <c r="H81" s="36">
        <f t="shared" si="34"/>
        <v>70.34118888888888</v>
      </c>
      <c r="I81" s="108" t="s">
        <v>12</v>
      </c>
      <c r="J81" s="36">
        <v>49.2066</v>
      </c>
      <c r="K81" s="36">
        <v>43.78046666666667</v>
      </c>
      <c r="L81" s="36">
        <v>52.339800000000004</v>
      </c>
      <c r="M81" s="36">
        <v>46.21573333333333</v>
      </c>
      <c r="N81" s="36">
        <v>52.74406666666666</v>
      </c>
      <c r="O81" s="36">
        <v>44.03953333333333</v>
      </c>
      <c r="P81" s="36">
        <f t="shared" si="35"/>
        <v>48.05436666666666</v>
      </c>
      <c r="Q81" s="2" t="str">
        <f t="shared" si="31"/>
        <v>TS/ms</v>
      </c>
      <c r="R81" s="36">
        <f t="shared" si="33"/>
        <v>25.368133333333326</v>
      </c>
      <c r="S81" s="36">
        <f t="shared" si="32"/>
        <v>18.897866666666673</v>
      </c>
      <c r="T81" s="36">
        <f t="shared" si="32"/>
        <v>23.273399999999988</v>
      </c>
      <c r="U81" s="36">
        <f t="shared" si="32"/>
        <v>22.967066666666653</v>
      </c>
      <c r="V81" s="36">
        <f t="shared" si="32"/>
        <v>25.985266666666668</v>
      </c>
      <c r="W81" s="36">
        <f t="shared" si="32"/>
        <v>17.2292</v>
      </c>
      <c r="Z81"/>
      <c r="AA81"/>
      <c r="AB81"/>
      <c r="AC81"/>
      <c r="AD81"/>
      <c r="AE81"/>
      <c r="AF81"/>
    </row>
    <row r="82" spans="1:32" ht="15">
      <c r="A82" s="60" t="s">
        <v>13</v>
      </c>
      <c r="B82" s="36">
        <v>19.400599007358323</v>
      </c>
      <c r="C82" s="36">
        <v>21.032658799356472</v>
      </c>
      <c r="D82" s="36">
        <v>19.21596578293557</v>
      </c>
      <c r="E82" s="36">
        <v>19.85817900743352</v>
      </c>
      <c r="F82" s="36">
        <v>19.568062504214968</v>
      </c>
      <c r="G82" s="36">
        <v>20.85836081722679</v>
      </c>
      <c r="H82" s="36">
        <f t="shared" si="34"/>
        <v>19.988970986420938</v>
      </c>
      <c r="I82" s="108" t="s">
        <v>13</v>
      </c>
      <c r="J82" s="36">
        <v>17.269920120504715</v>
      </c>
      <c r="K82" s="36">
        <v>18.889017291733772</v>
      </c>
      <c r="L82" s="36">
        <v>17.31128676548487</v>
      </c>
      <c r="M82" s="36">
        <v>18.179686806445208</v>
      </c>
      <c r="N82" s="36">
        <v>18.0549059322169</v>
      </c>
      <c r="O82" s="36">
        <v>19.319301149643586</v>
      </c>
      <c r="P82" s="36">
        <f t="shared" si="35"/>
        <v>18.170686344338176</v>
      </c>
      <c r="Q82" s="2" t="str">
        <f t="shared" si="31"/>
        <v>G/dB</v>
      </c>
      <c r="R82" s="36">
        <f t="shared" si="33"/>
        <v>2.130678886853609</v>
      </c>
      <c r="S82" s="36">
        <f t="shared" si="32"/>
        <v>2.1436415076227</v>
      </c>
      <c r="T82" s="36">
        <f t="shared" si="32"/>
        <v>1.9046790174507002</v>
      </c>
      <c r="U82" s="36">
        <f t="shared" si="32"/>
        <v>1.6784922009883125</v>
      </c>
      <c r="V82" s="36">
        <f t="shared" si="32"/>
        <v>1.513156571998067</v>
      </c>
      <c r="W82" s="36">
        <f t="shared" si="32"/>
        <v>1.539059667583203</v>
      </c>
      <c r="Z82" s="36"/>
      <c r="AA82" s="36"/>
      <c r="AB82" s="36"/>
      <c r="AC82" s="36"/>
      <c r="AD82" s="36"/>
      <c r="AE82" s="36"/>
      <c r="AF82" s="36"/>
    </row>
    <row r="83" spans="1:32" ht="15">
      <c r="A83" s="60" t="s">
        <v>14</v>
      </c>
      <c r="B83" s="36">
        <v>26.105333333333334</v>
      </c>
      <c r="C83" s="36">
        <v>22.07133333333333</v>
      </c>
      <c r="D83" s="36">
        <v>29.844333333333335</v>
      </c>
      <c r="E83" s="36">
        <v>22.27133333333333</v>
      </c>
      <c r="F83" s="36">
        <v>24.56266666666667</v>
      </c>
      <c r="G83" s="36">
        <v>21.455</v>
      </c>
      <c r="H83" s="36">
        <f t="shared" si="34"/>
        <v>24.385</v>
      </c>
      <c r="I83" s="110" t="s">
        <v>14</v>
      </c>
      <c r="J83" s="36">
        <v>22.666666666666668</v>
      </c>
      <c r="K83" s="36">
        <v>24.491333333333333</v>
      </c>
      <c r="L83" s="36">
        <v>23.677333333333333</v>
      </c>
      <c r="M83" s="36">
        <v>16.853666666666665</v>
      </c>
      <c r="N83" s="36">
        <v>22.55333333333333</v>
      </c>
      <c r="O83" s="36">
        <v>22.65233333333333</v>
      </c>
      <c r="P83" s="36">
        <f t="shared" si="35"/>
        <v>22.14911111111111</v>
      </c>
      <c r="Q83" s="2" t="str">
        <f t="shared" si="31"/>
        <v>LF/%</v>
      </c>
      <c r="R83" s="36">
        <f t="shared" si="33"/>
        <v>3.4386666666666663</v>
      </c>
      <c r="S83" s="36">
        <f t="shared" si="32"/>
        <v>-2.4200000000000017</v>
      </c>
      <c r="T83" s="36">
        <f t="shared" si="32"/>
        <v>6.167000000000002</v>
      </c>
      <c r="U83" s="36">
        <f t="shared" si="32"/>
        <v>5.4176666666666655</v>
      </c>
      <c r="V83" s="36">
        <f t="shared" si="32"/>
        <v>2.0093333333333376</v>
      </c>
      <c r="W83" s="36">
        <f t="shared" si="32"/>
        <v>-1.197333333333333</v>
      </c>
      <c r="Z83" s="36"/>
      <c r="AA83" s="36"/>
      <c r="AB83" s="36"/>
      <c r="AC83" s="36"/>
      <c r="AD83" s="36"/>
      <c r="AE83" s="36"/>
      <c r="AF83" s="36"/>
    </row>
    <row r="84" spans="1:32" ht="15">
      <c r="A84" s="60" t="s">
        <v>15</v>
      </c>
      <c r="B84" s="36">
        <v>39.59766666666667</v>
      </c>
      <c r="C84" s="36">
        <v>33.178333333333335</v>
      </c>
      <c r="D84" s="36">
        <v>41.46366666666666</v>
      </c>
      <c r="E84" s="36">
        <v>37.98166666666666</v>
      </c>
      <c r="F84" s="36">
        <v>42.010999999999996</v>
      </c>
      <c r="G84" s="36">
        <v>33.30433333333334</v>
      </c>
      <c r="H84" s="36">
        <f t="shared" si="34"/>
        <v>37.922777777777775</v>
      </c>
      <c r="I84" s="110" t="s">
        <v>15</v>
      </c>
      <c r="J84" s="36">
        <v>33.141</v>
      </c>
      <c r="K84" s="36">
        <v>36.284333333333336</v>
      </c>
      <c r="L84" s="36">
        <v>40.129333333333335</v>
      </c>
      <c r="M84" s="36">
        <v>28.89033333333333</v>
      </c>
      <c r="N84" s="36">
        <v>33.75466666666667</v>
      </c>
      <c r="O84" s="36">
        <v>42.64566666666666</v>
      </c>
      <c r="P84" s="36">
        <f t="shared" si="35"/>
        <v>35.80755555555556</v>
      </c>
      <c r="Q84" s="2" t="str">
        <f t="shared" si="31"/>
        <v>LFC/%</v>
      </c>
      <c r="R84" s="36">
        <f t="shared" si="33"/>
        <v>6.4566666666666706</v>
      </c>
      <c r="S84" s="36">
        <f t="shared" si="32"/>
        <v>-3.1060000000000016</v>
      </c>
      <c r="T84" s="36">
        <f t="shared" si="32"/>
        <v>1.3343333333333263</v>
      </c>
      <c r="U84" s="36">
        <f t="shared" si="32"/>
        <v>9.091333333333331</v>
      </c>
      <c r="V84" s="36">
        <f t="shared" si="32"/>
        <v>8.256333333333323</v>
      </c>
      <c r="W84" s="36">
        <f t="shared" si="32"/>
        <v>-9.341333333333324</v>
      </c>
      <c r="Z84" s="36"/>
      <c r="AA84" s="36"/>
      <c r="AB84" s="36"/>
      <c r="AC84" s="36"/>
      <c r="AD84" s="36"/>
      <c r="AE84" s="36"/>
      <c r="AF84" s="36"/>
    </row>
    <row r="85" spans="1:32" ht="15">
      <c r="A85" s="61" t="s">
        <v>16</v>
      </c>
      <c r="B85" s="36">
        <v>0.26080666666666663</v>
      </c>
      <c r="C85" s="36">
        <v>0.3195</v>
      </c>
      <c r="D85" s="36">
        <v>0.15316000000000002</v>
      </c>
      <c r="E85" s="36">
        <v>0.31043333333333334</v>
      </c>
      <c r="F85" s="36">
        <v>0.24169999999999997</v>
      </c>
      <c r="G85" s="36">
        <v>0.42047333333333337</v>
      </c>
      <c r="H85" s="36">
        <f t="shared" si="34"/>
        <v>0.2843455555555556</v>
      </c>
      <c r="I85" s="108" t="s">
        <v>16</v>
      </c>
      <c r="J85" s="36">
        <v>0.3216866666666667</v>
      </c>
      <c r="K85" s="36">
        <v>0.39855333333333337</v>
      </c>
      <c r="L85" s="36">
        <v>0.21372666666666668</v>
      </c>
      <c r="M85" s="36">
        <v>0.39193333333333336</v>
      </c>
      <c r="N85" s="36">
        <v>0.344375</v>
      </c>
      <c r="O85" s="36">
        <v>0.43943866666666664</v>
      </c>
      <c r="P85" s="36">
        <f t="shared" si="35"/>
        <v>0.3516189444444444</v>
      </c>
      <c r="Q85" s="2" t="str">
        <f t="shared" si="31"/>
        <v>IACC</v>
      </c>
      <c r="R85" s="36">
        <f t="shared" si="33"/>
        <v>-0.060880000000000045</v>
      </c>
      <c r="S85" s="36">
        <f t="shared" si="32"/>
        <v>-0.07905333333333336</v>
      </c>
      <c r="T85" s="36">
        <f t="shared" si="32"/>
        <v>-0.06056666666666666</v>
      </c>
      <c r="U85" s="36">
        <f t="shared" si="32"/>
        <v>-0.08150000000000002</v>
      </c>
      <c r="V85" s="36">
        <f t="shared" si="32"/>
        <v>-0.10267500000000002</v>
      </c>
      <c r="W85" s="36">
        <f t="shared" si="32"/>
        <v>-0.01896533333333328</v>
      </c>
      <c r="Z85" s="36"/>
      <c r="AA85" s="36"/>
      <c r="AB85" s="36"/>
      <c r="AC85" s="36"/>
      <c r="AD85" s="36"/>
      <c r="AE85" s="36"/>
      <c r="AF85" s="36"/>
    </row>
    <row r="86" spans="1:32" ht="15">
      <c r="A86"/>
      <c r="B86"/>
      <c r="C86"/>
      <c r="D86"/>
      <c r="E86"/>
      <c r="F86"/>
      <c r="G86"/>
      <c r="H86" s="36"/>
      <c r="I86" s="102"/>
      <c r="Q86" s="64"/>
      <c r="R86" s="64"/>
      <c r="S86" s="64"/>
      <c r="T86" s="64"/>
      <c r="U86" s="64"/>
      <c r="V86" s="64"/>
      <c r="W86" s="64"/>
      <c r="Z86" s="36"/>
      <c r="AA86" s="36"/>
      <c r="AB86" s="36"/>
      <c r="AC86" s="36"/>
      <c r="AD86" s="36"/>
      <c r="AE86" s="36"/>
      <c r="AF86" s="36"/>
    </row>
    <row r="88" spans="1:9" ht="15">
      <c r="A88" t="s">
        <v>47</v>
      </c>
      <c r="B88"/>
      <c r="C88"/>
      <c r="D88"/>
      <c r="E88"/>
      <c r="F88"/>
      <c r="G88"/>
      <c r="I88" s="115" t="s">
        <v>46</v>
      </c>
    </row>
    <row r="89" spans="1:15" ht="15">
      <c r="A89" s="99" t="s">
        <v>48</v>
      </c>
      <c r="B89" s="98"/>
      <c r="C89" s="98"/>
      <c r="E89" s="83"/>
      <c r="J89" s="2"/>
      <c r="K89" s="2"/>
      <c r="L89" s="2"/>
      <c r="M89" s="2"/>
      <c r="N89" s="2"/>
      <c r="O89" s="2"/>
    </row>
    <row r="90" spans="1:15" ht="15.75">
      <c r="A90" s="11" t="s">
        <v>0</v>
      </c>
      <c r="B90" s="12"/>
      <c r="E90" s="13"/>
      <c r="F90" s="13"/>
      <c r="G90" s="13"/>
      <c r="I90" s="11" t="s">
        <v>0</v>
      </c>
      <c r="J90" s="12"/>
      <c r="K90" s="2"/>
      <c r="L90" s="2"/>
      <c r="M90" s="13"/>
      <c r="N90" s="13"/>
      <c r="O90" s="13"/>
    </row>
    <row r="91" spans="1:15" ht="15">
      <c r="A91" s="65"/>
      <c r="B91" s="58" t="s">
        <v>2</v>
      </c>
      <c r="C91" s="58" t="s">
        <v>3</v>
      </c>
      <c r="D91" s="58" t="s">
        <v>4</v>
      </c>
      <c r="E91" s="58" t="s">
        <v>5</v>
      </c>
      <c r="F91" s="58" t="s">
        <v>6</v>
      </c>
      <c r="G91" s="59" t="s">
        <v>7</v>
      </c>
      <c r="I91" s="111"/>
      <c r="J91" s="58" t="s">
        <v>2</v>
      </c>
      <c r="K91" s="58" t="s">
        <v>3</v>
      </c>
      <c r="L91" s="58" t="s">
        <v>4</v>
      </c>
      <c r="M91" s="58" t="s">
        <v>5</v>
      </c>
      <c r="N91" s="58" t="s">
        <v>6</v>
      </c>
      <c r="O91" s="59" t="s">
        <v>7</v>
      </c>
    </row>
    <row r="92" spans="1:15" ht="15">
      <c r="A92" s="96" t="s">
        <v>8</v>
      </c>
      <c r="B92" s="19">
        <v>0.04969909455915196</v>
      </c>
      <c r="C92" s="20">
        <v>0.02873248258601078</v>
      </c>
      <c r="D92" s="20">
        <v>0.044497190922572524</v>
      </c>
      <c r="E92" s="88">
        <v>0.035071355833504445</v>
      </c>
      <c r="F92" s="20">
        <v>0.028284271247464268</v>
      </c>
      <c r="G92" s="21">
        <v>0.01949358868961344</v>
      </c>
      <c r="I92" s="112" t="s">
        <v>8</v>
      </c>
      <c r="J92" s="19">
        <v>0.0795612971236654</v>
      </c>
      <c r="K92" s="20">
        <v>0.01639783183499462</v>
      </c>
      <c r="L92" s="20">
        <v>0.05804213029247595</v>
      </c>
      <c r="M92" s="88">
        <v>0.04745758340057162</v>
      </c>
      <c r="N92" s="20">
        <v>0.06352602266438195</v>
      </c>
      <c r="O92" s="21">
        <v>0.03699849846803212</v>
      </c>
    </row>
    <row r="93" spans="1:15" ht="15">
      <c r="A93" s="96" t="s">
        <v>9</v>
      </c>
      <c r="B93" s="22">
        <v>0.05639148871948688</v>
      </c>
      <c r="C93" s="88">
        <v>0.06442049363362552</v>
      </c>
      <c r="D93" s="88">
        <v>0.029870089089623957</v>
      </c>
      <c r="E93" s="88">
        <v>0.09099450532861897</v>
      </c>
      <c r="F93" s="88">
        <v>0.17683325479106052</v>
      </c>
      <c r="G93" s="24">
        <v>0.0697853852894719</v>
      </c>
      <c r="I93" s="112" t="s">
        <v>9</v>
      </c>
      <c r="J93" s="22">
        <v>0.05284148202144001</v>
      </c>
      <c r="K93" s="88">
        <v>0.04904646323187381</v>
      </c>
      <c r="L93" s="88">
        <v>0.09791152468768236</v>
      </c>
      <c r="M93" s="88">
        <v>0.08466929129790277</v>
      </c>
      <c r="N93" s="88">
        <v>0.11742609969205722</v>
      </c>
      <c r="O93" s="24">
        <v>0.051982903172317095</v>
      </c>
    </row>
    <row r="94" spans="1:15" ht="15">
      <c r="A94" s="96" t="s">
        <v>10</v>
      </c>
      <c r="B94" s="22">
        <v>1.266794480394214</v>
      </c>
      <c r="C94" s="88">
        <v>7.311504060953083</v>
      </c>
      <c r="D94" s="88">
        <v>2.3242298079150867</v>
      </c>
      <c r="E94" s="88">
        <v>3.337445942966373</v>
      </c>
      <c r="F94" s="88">
        <v>6.05554101354021</v>
      </c>
      <c r="G94" s="24">
        <v>3.7496486176114265</v>
      </c>
      <c r="I94" s="112" t="s">
        <v>10</v>
      </c>
      <c r="J94" s="22">
        <v>0.9091668469308728</v>
      </c>
      <c r="K94" s="88">
        <v>6.366886405457577</v>
      </c>
      <c r="L94" s="88">
        <v>4.068843859814967</v>
      </c>
      <c r="M94" s="88">
        <v>3.4937256268281156</v>
      </c>
      <c r="N94" s="88">
        <v>4.641070766057651</v>
      </c>
      <c r="O94" s="24">
        <v>3.8908385157385856</v>
      </c>
    </row>
    <row r="95" spans="1:15" ht="15">
      <c r="A95" s="96" t="s">
        <v>11</v>
      </c>
      <c r="B95" s="22">
        <v>0.559212209400601</v>
      </c>
      <c r="C95" s="88">
        <v>1.0065911598452002</v>
      </c>
      <c r="D95" s="88">
        <v>0.3761678762773493</v>
      </c>
      <c r="E95" s="88">
        <v>0.9613226574915653</v>
      </c>
      <c r="F95" s="88">
        <v>1.4988367797271702</v>
      </c>
      <c r="G95" s="24">
        <v>0.4582841761105804</v>
      </c>
      <c r="I95" s="112" t="s">
        <v>11</v>
      </c>
      <c r="J95" s="22">
        <v>0.5356405046652295</v>
      </c>
      <c r="K95" s="88">
        <v>0.8855829481943661</v>
      </c>
      <c r="L95" s="88">
        <v>0.7930811651054397</v>
      </c>
      <c r="M95" s="88">
        <v>0.8747944324348187</v>
      </c>
      <c r="N95" s="88">
        <v>1.2657848072464202</v>
      </c>
      <c r="O95" s="24">
        <v>0.3741165055320036</v>
      </c>
    </row>
    <row r="96" spans="1:15" ht="15">
      <c r="A96" s="96" t="s">
        <v>12</v>
      </c>
      <c r="B96" s="22">
        <v>5.143978158973873</v>
      </c>
      <c r="C96" s="88">
        <v>9.414808354690829</v>
      </c>
      <c r="D96" s="88">
        <v>4.141073945514711</v>
      </c>
      <c r="E96" s="88">
        <v>6.312847761157962</v>
      </c>
      <c r="F96" s="88">
        <v>9.760753695283936</v>
      </c>
      <c r="G96" s="24">
        <v>4.536926759627434</v>
      </c>
      <c r="I96" s="112" t="s">
        <v>12</v>
      </c>
      <c r="J96" s="22">
        <v>5.834391142184428</v>
      </c>
      <c r="K96" s="88">
        <v>9.01165332777509</v>
      </c>
      <c r="L96" s="88">
        <v>7.446328806122476</v>
      </c>
      <c r="M96" s="88">
        <v>5.858311207165395</v>
      </c>
      <c r="N96" s="88">
        <v>8.380213628939655</v>
      </c>
      <c r="O96" s="24">
        <v>5.0397636386378295</v>
      </c>
    </row>
    <row r="97" spans="1:15" ht="15">
      <c r="A97" s="96" t="s">
        <v>13</v>
      </c>
      <c r="B97" s="22">
        <v>2.3728320252615176</v>
      </c>
      <c r="C97" s="88">
        <v>2.6246398544755314</v>
      </c>
      <c r="D97" s="88">
        <v>1.626886267769504</v>
      </c>
      <c r="E97" s="88">
        <v>1.8469350123263304</v>
      </c>
      <c r="F97" s="88">
        <v>1.9006311647874494</v>
      </c>
      <c r="G97" s="24">
        <v>2.0333946001214533</v>
      </c>
      <c r="I97" s="112" t="s">
        <v>13</v>
      </c>
      <c r="J97" s="22">
        <v>1.9614792729129162</v>
      </c>
      <c r="K97" s="88">
        <v>2.56866714880653</v>
      </c>
      <c r="L97" s="88">
        <v>3.753485708609669</v>
      </c>
      <c r="M97" s="88">
        <v>1.986361940638621</v>
      </c>
      <c r="N97" s="88">
        <v>1.9984150460705423</v>
      </c>
      <c r="O97" s="24">
        <v>2.014515107206581</v>
      </c>
    </row>
    <row r="98" spans="1:15" ht="15">
      <c r="A98" s="96" t="s">
        <v>14</v>
      </c>
      <c r="B98" s="38">
        <v>1.815253976720609</v>
      </c>
      <c r="C98" s="38">
        <v>4.441501247701405</v>
      </c>
      <c r="D98" s="38">
        <v>8.268564074452911</v>
      </c>
      <c r="E98" s="38">
        <v>11.755500896743332</v>
      </c>
      <c r="F98" s="38">
        <v>13.262220075588141</v>
      </c>
      <c r="G98" s="90">
        <v>14.7281815578163</v>
      </c>
      <c r="I98" s="112" t="s">
        <v>14</v>
      </c>
      <c r="J98" s="38">
        <v>4.018299640395178</v>
      </c>
      <c r="K98" s="38">
        <v>7.316927383357943</v>
      </c>
      <c r="L98" s="38">
        <v>6.0509273118533935</v>
      </c>
      <c r="M98" s="38">
        <v>4.586004942576203</v>
      </c>
      <c r="N98" s="38">
        <v>13.198297819542232</v>
      </c>
      <c r="O98" s="90">
        <v>14.023947482788152</v>
      </c>
    </row>
    <row r="99" spans="1:15" ht="15">
      <c r="A99" s="96" t="s">
        <v>15</v>
      </c>
      <c r="B99" s="22">
        <v>1.9798757536774787</v>
      </c>
      <c r="C99" s="23">
        <v>7.907428490560836</v>
      </c>
      <c r="D99" s="23">
        <v>11.581005195289977</v>
      </c>
      <c r="E99" s="88">
        <v>14.536275600487688</v>
      </c>
      <c r="F99" s="88">
        <v>5.515223053815101</v>
      </c>
      <c r="G99" s="24">
        <v>5.987293322807325</v>
      </c>
      <c r="I99" s="112" t="s">
        <v>15</v>
      </c>
      <c r="J99" s="22">
        <v>1.546604991586438</v>
      </c>
      <c r="K99" s="23">
        <v>4.995332454735398</v>
      </c>
      <c r="L99" s="23">
        <v>10.651950854186284</v>
      </c>
      <c r="M99" s="88">
        <v>9.46929993892544</v>
      </c>
      <c r="N99" s="88">
        <v>6.797646136715266</v>
      </c>
      <c r="O99" s="24">
        <v>6.567815491724274</v>
      </c>
    </row>
    <row r="100" spans="1:15" ht="15">
      <c r="A100" s="97" t="s">
        <v>16</v>
      </c>
      <c r="B100" s="25">
        <v>0.011522210821817067</v>
      </c>
      <c r="C100" s="26">
        <v>0.013397624167487724</v>
      </c>
      <c r="D100" s="26">
        <v>0.014552384302546083</v>
      </c>
      <c r="E100" s="26">
        <v>0.025579249402595147</v>
      </c>
      <c r="F100" s="26">
        <v>0.022782834669013225</v>
      </c>
      <c r="G100" s="27">
        <v>0.013923154176477267</v>
      </c>
      <c r="I100" s="113" t="s">
        <v>16</v>
      </c>
      <c r="J100" s="25">
        <v>0.007063702208406011</v>
      </c>
      <c r="K100" s="26">
        <v>0.01890226323897553</v>
      </c>
      <c r="L100" s="26">
        <v>0.009707156581048435</v>
      </c>
      <c r="M100" s="26">
        <v>0.011649845015677349</v>
      </c>
      <c r="N100" s="26">
        <v>0.013486454109388122</v>
      </c>
      <c r="O100" s="27">
        <v>0.022325389134352117</v>
      </c>
    </row>
    <row r="101" spans="5:15" ht="15">
      <c r="E101" s="13"/>
      <c r="F101" s="13"/>
      <c r="G101" s="13"/>
      <c r="J101" s="2"/>
      <c r="K101" s="2"/>
      <c r="L101" s="2"/>
      <c r="M101" s="13"/>
      <c r="N101" s="13"/>
      <c r="O101" s="13"/>
    </row>
    <row r="102" spans="1:15" ht="15.75">
      <c r="A102" s="11" t="s">
        <v>17</v>
      </c>
      <c r="B102" s="12"/>
      <c r="E102" s="13"/>
      <c r="F102" s="13"/>
      <c r="G102" s="13"/>
      <c r="I102" s="11" t="s">
        <v>17</v>
      </c>
      <c r="J102" s="12"/>
      <c r="K102" s="2"/>
      <c r="L102" s="2"/>
      <c r="M102" s="13"/>
      <c r="N102" s="13"/>
      <c r="O102" s="13"/>
    </row>
    <row r="103" spans="1:15" ht="15">
      <c r="A103" s="65"/>
      <c r="B103" s="14" t="str">
        <f aca="true" t="shared" si="36" ref="B103:G103">+B91</f>
        <v>S1R1</v>
      </c>
      <c r="C103" s="14" t="str">
        <f t="shared" si="36"/>
        <v>S1R2</v>
      </c>
      <c r="D103" s="14" t="str">
        <f t="shared" si="36"/>
        <v>S1R3</v>
      </c>
      <c r="E103" s="14" t="str">
        <f t="shared" si="36"/>
        <v>S2R1</v>
      </c>
      <c r="F103" s="14" t="str">
        <f t="shared" si="36"/>
        <v>S2R2</v>
      </c>
      <c r="G103" s="14" t="str">
        <f t="shared" si="36"/>
        <v>S2R3</v>
      </c>
      <c r="I103" s="111"/>
      <c r="J103" s="14" t="str">
        <f aca="true" t="shared" si="37" ref="J103:O103">+J91</f>
        <v>S1R1</v>
      </c>
      <c r="K103" s="14" t="str">
        <f t="shared" si="37"/>
        <v>S1R2</v>
      </c>
      <c r="L103" s="14" t="str">
        <f t="shared" si="37"/>
        <v>S1R3</v>
      </c>
      <c r="M103" s="14" t="str">
        <f t="shared" si="37"/>
        <v>S2R1</v>
      </c>
      <c r="N103" s="14" t="str">
        <f t="shared" si="37"/>
        <v>S2R2</v>
      </c>
      <c r="O103" s="14" t="str">
        <f t="shared" si="37"/>
        <v>S2R3</v>
      </c>
    </row>
    <row r="104" spans="1:15" ht="15">
      <c r="A104" s="96" t="s">
        <v>8</v>
      </c>
      <c r="B104" s="84">
        <v>0.033466401061359854</v>
      </c>
      <c r="C104" s="85">
        <v>0.034431897356311206</v>
      </c>
      <c r="D104" s="85">
        <v>0.03875851160999728</v>
      </c>
      <c r="E104" s="86">
        <v>0.02804757862395496</v>
      </c>
      <c r="F104" s="85">
        <v>0.021908902300212533</v>
      </c>
      <c r="G104" s="87">
        <v>0.02575525836276965</v>
      </c>
      <c r="I104" s="112" t="s">
        <v>8</v>
      </c>
      <c r="J104" s="84">
        <v>0.04365266951236321</v>
      </c>
      <c r="K104" s="85">
        <v>0.04245258793315373</v>
      </c>
      <c r="L104" s="85">
        <v>0.061526868566143415</v>
      </c>
      <c r="M104" s="86">
        <v>0.04969909455915643</v>
      </c>
      <c r="N104" s="85">
        <v>0.04822401430361943</v>
      </c>
      <c r="O104" s="87">
        <v>0.017094508539944903</v>
      </c>
    </row>
    <row r="105" spans="1:15" ht="15">
      <c r="A105" s="96" t="s">
        <v>9</v>
      </c>
      <c r="B105" s="35">
        <v>0.03304878548786198</v>
      </c>
      <c r="C105" s="86">
        <v>0.028616234708443083</v>
      </c>
      <c r="D105" s="86">
        <v>0.04717579416984628</v>
      </c>
      <c r="E105" s="86">
        <v>0.05167204273105907</v>
      </c>
      <c r="F105" s="86">
        <v>0.06521758454078076</v>
      </c>
      <c r="G105" s="34">
        <v>0.05215361924161747</v>
      </c>
      <c r="I105" s="112" t="s">
        <v>9</v>
      </c>
      <c r="J105" s="35">
        <v>0.03049590136395359</v>
      </c>
      <c r="K105" s="86">
        <v>0.06610597552415437</v>
      </c>
      <c r="L105" s="86">
        <v>0.03346640106136317</v>
      </c>
      <c r="M105" s="86">
        <v>0.023021728866440928</v>
      </c>
      <c r="N105" s="86">
        <v>0.027728845790783305</v>
      </c>
      <c r="O105" s="34">
        <v>0.02607680962081086</v>
      </c>
    </row>
    <row r="106" spans="1:15" ht="15">
      <c r="A106" s="96" t="s">
        <v>10</v>
      </c>
      <c r="B106" s="35">
        <v>2.2240679520994924</v>
      </c>
      <c r="C106" s="86">
        <v>3.5663281895468155</v>
      </c>
      <c r="D106" s="86">
        <v>3.1339484360785845</v>
      </c>
      <c r="E106" s="86">
        <v>0.3238883895563531</v>
      </c>
      <c r="F106" s="86">
        <v>4.52057843152352</v>
      </c>
      <c r="G106" s="34">
        <v>3.3306522084019097</v>
      </c>
      <c r="I106" s="112" t="s">
        <v>10</v>
      </c>
      <c r="J106" s="35">
        <v>2.958541059373586</v>
      </c>
      <c r="K106" s="86">
        <v>1.2194610831564892</v>
      </c>
      <c r="L106" s="86">
        <v>2.782139558365511</v>
      </c>
      <c r="M106" s="86">
        <v>0.579360873912866</v>
      </c>
      <c r="N106" s="86">
        <v>5.116984658956876</v>
      </c>
      <c r="O106" s="34">
        <v>2.564976138074416</v>
      </c>
    </row>
    <row r="107" spans="1:15" ht="15">
      <c r="A107" s="96" t="s">
        <v>11</v>
      </c>
      <c r="B107" s="35">
        <v>0.2184660900602477</v>
      </c>
      <c r="C107" s="86">
        <v>0.45332714433378296</v>
      </c>
      <c r="D107" s="86">
        <v>0.41016782814879654</v>
      </c>
      <c r="E107" s="86">
        <v>0.34185522982563166</v>
      </c>
      <c r="F107" s="86">
        <v>0.27517184809008277</v>
      </c>
      <c r="G107" s="34">
        <v>0.4521379013777294</v>
      </c>
      <c r="I107" s="112" t="s">
        <v>11</v>
      </c>
      <c r="J107" s="35">
        <v>0.3506270481014857</v>
      </c>
      <c r="K107" s="86">
        <v>0.6675530278240579</v>
      </c>
      <c r="L107" s="86">
        <v>0.5785119726804134</v>
      </c>
      <c r="M107" s="86">
        <v>0.3235386481736387</v>
      </c>
      <c r="N107" s="86">
        <v>0.21769457337540501</v>
      </c>
      <c r="O107" s="34">
        <v>0.3318663925519223</v>
      </c>
    </row>
    <row r="108" spans="1:15" ht="15">
      <c r="A108" s="96" t="s">
        <v>12</v>
      </c>
      <c r="B108" s="35">
        <v>3.660290893114977</v>
      </c>
      <c r="C108" s="86">
        <v>2.0471747414965686</v>
      </c>
      <c r="D108" s="86">
        <v>2.319105557944372</v>
      </c>
      <c r="E108" s="86">
        <v>2.1776588422730887</v>
      </c>
      <c r="F108" s="86">
        <v>3.164226001550671</v>
      </c>
      <c r="G108" s="34">
        <v>1.2274960420841534</v>
      </c>
      <c r="I108" s="112" t="s">
        <v>12</v>
      </c>
      <c r="J108" s="35">
        <v>3.967654944114434</v>
      </c>
      <c r="K108" s="86">
        <v>3.147665222915969</v>
      </c>
      <c r="L108" s="86">
        <v>4.672697267698396</v>
      </c>
      <c r="M108" s="86">
        <v>3.323969868829926</v>
      </c>
      <c r="N108" s="86">
        <v>4.297896927568255</v>
      </c>
      <c r="O108" s="34">
        <v>1.778338762878134</v>
      </c>
    </row>
    <row r="109" spans="1:15" ht="15">
      <c r="A109" s="96" t="s">
        <v>13</v>
      </c>
      <c r="B109" s="35">
        <v>1.0785823845410683</v>
      </c>
      <c r="C109" s="86">
        <v>1.042503151260624</v>
      </c>
      <c r="D109" s="86">
        <v>0.6263465765961739</v>
      </c>
      <c r="E109" s="86">
        <v>1.158660202462347</v>
      </c>
      <c r="F109" s="86">
        <v>1.4461801039851485</v>
      </c>
      <c r="G109" s="34">
        <v>0.7490697701935292</v>
      </c>
      <c r="I109" s="112" t="s">
        <v>13</v>
      </c>
      <c r="J109" s="35">
        <v>1.0885848946930259</v>
      </c>
      <c r="K109" s="86">
        <v>0.9685982599258144</v>
      </c>
      <c r="L109" s="86">
        <v>0.9498065289189288</v>
      </c>
      <c r="M109" s="86">
        <v>1.121406424750822</v>
      </c>
      <c r="N109" s="86">
        <v>1.5520431701699193</v>
      </c>
      <c r="O109" s="34">
        <v>0.7554798540045443</v>
      </c>
    </row>
    <row r="110" spans="1:15" ht="15">
      <c r="A110" s="96" t="s">
        <v>14</v>
      </c>
      <c r="B110" s="48">
        <v>4.765997482164663</v>
      </c>
      <c r="C110" s="48">
        <v>3.9216454454731107</v>
      </c>
      <c r="D110" s="48">
        <v>9.838033763579654</v>
      </c>
      <c r="E110" s="48">
        <v>6.858436070514431</v>
      </c>
      <c r="F110" s="48">
        <v>3.4048833068599107</v>
      </c>
      <c r="G110" s="89">
        <v>3.7515525230674</v>
      </c>
      <c r="I110" s="112" t="s">
        <v>14</v>
      </c>
      <c r="J110" s="48">
        <v>0.44030141191380734</v>
      </c>
      <c r="K110" s="48">
        <v>3.174042690324114</v>
      </c>
      <c r="L110" s="48">
        <v>5.343150007252289</v>
      </c>
      <c r="M110" s="48">
        <v>2.7433510530007044</v>
      </c>
      <c r="N110" s="48">
        <v>3.07517826041574</v>
      </c>
      <c r="O110" s="89">
        <v>2.12955934408975</v>
      </c>
    </row>
    <row r="111" spans="1:15" ht="15">
      <c r="A111" s="96" t="s">
        <v>15</v>
      </c>
      <c r="B111" s="35">
        <v>2.0176286410867803</v>
      </c>
      <c r="C111" s="33">
        <v>3.75514740056897</v>
      </c>
      <c r="D111" s="33">
        <v>6.60663628482757</v>
      </c>
      <c r="E111" s="86">
        <v>1.85094741506434</v>
      </c>
      <c r="F111" s="86">
        <v>1.2620623333787657</v>
      </c>
      <c r="G111" s="34">
        <v>2.0590156224112484</v>
      </c>
      <c r="I111" s="112" t="s">
        <v>15</v>
      </c>
      <c r="J111" s="35">
        <v>6.044319068348399</v>
      </c>
      <c r="K111" s="33">
        <v>2.477399442964318</v>
      </c>
      <c r="L111" s="33">
        <v>3.741474753801417</v>
      </c>
      <c r="M111" s="86">
        <v>0.5365566139747545</v>
      </c>
      <c r="N111" s="86">
        <v>2.975917729597543</v>
      </c>
      <c r="O111" s="34">
        <v>1.4562480329028367</v>
      </c>
    </row>
    <row r="112" spans="1:15" ht="15">
      <c r="A112" s="97" t="s">
        <v>16</v>
      </c>
      <c r="B112" s="91">
        <v>0.04177300829749092</v>
      </c>
      <c r="C112" s="92">
        <v>0.02524862372486953</v>
      </c>
      <c r="D112" s="92">
        <v>0.03721458794015645</v>
      </c>
      <c r="E112" s="92">
        <v>0.06659241114588205</v>
      </c>
      <c r="F112" s="92">
        <v>0.031511061549872536</v>
      </c>
      <c r="G112" s="93">
        <v>0.03492121609184483</v>
      </c>
      <c r="I112" s="113" t="s">
        <v>16</v>
      </c>
      <c r="J112" s="91">
        <v>0.04711775202145922</v>
      </c>
      <c r="K112" s="92">
        <v>0.016609093894613007</v>
      </c>
      <c r="L112" s="92">
        <v>0.01990532312947673</v>
      </c>
      <c r="M112" s="92">
        <v>0.028283037712065758</v>
      </c>
      <c r="N112" s="92">
        <v>0.03468496312044772</v>
      </c>
      <c r="O112" s="93">
        <v>0.028069750424417318</v>
      </c>
    </row>
    <row r="113" spans="1:15" ht="15">
      <c r="A113" s="48"/>
      <c r="B113" s="48"/>
      <c r="C113" s="48"/>
      <c r="D113" s="48"/>
      <c r="E113" s="94"/>
      <c r="F113" s="94"/>
      <c r="G113" s="94"/>
      <c r="I113" s="114"/>
      <c r="J113" s="48"/>
      <c r="K113" s="48"/>
      <c r="L113" s="48"/>
      <c r="M113" s="94"/>
      <c r="N113" s="94"/>
      <c r="O113" s="94"/>
    </row>
    <row r="114" spans="1:15" ht="15.75">
      <c r="A114" s="11" t="s">
        <v>18</v>
      </c>
      <c r="B114" s="95"/>
      <c r="C114" s="48"/>
      <c r="D114" s="48"/>
      <c r="E114" s="94"/>
      <c r="F114" s="94"/>
      <c r="G114" s="94"/>
      <c r="I114" s="11" t="s">
        <v>18</v>
      </c>
      <c r="J114" s="95"/>
      <c r="K114" s="48"/>
      <c r="L114" s="48"/>
      <c r="M114" s="94"/>
      <c r="N114" s="94"/>
      <c r="O114" s="94"/>
    </row>
    <row r="115" spans="1:15" ht="15">
      <c r="A115" s="65"/>
      <c r="B115" s="14" t="str">
        <f aca="true" t="shared" si="38" ref="B115:G115">+B103</f>
        <v>S1R1</v>
      </c>
      <c r="C115" s="14" t="str">
        <f t="shared" si="38"/>
        <v>S1R2</v>
      </c>
      <c r="D115" s="14" t="str">
        <f t="shared" si="38"/>
        <v>S1R3</v>
      </c>
      <c r="E115" s="14" t="str">
        <f t="shared" si="38"/>
        <v>S2R1</v>
      </c>
      <c r="F115" s="14" t="str">
        <f t="shared" si="38"/>
        <v>S2R2</v>
      </c>
      <c r="G115" s="14" t="str">
        <f t="shared" si="38"/>
        <v>S2R3</v>
      </c>
      <c r="I115" s="111"/>
      <c r="J115" s="14" t="str">
        <f aca="true" t="shared" si="39" ref="J115:O115">+J103</f>
        <v>S1R1</v>
      </c>
      <c r="K115" s="14" t="str">
        <f t="shared" si="39"/>
        <v>S1R2</v>
      </c>
      <c r="L115" s="14" t="str">
        <f t="shared" si="39"/>
        <v>S1R3</v>
      </c>
      <c r="M115" s="14" t="str">
        <f t="shared" si="39"/>
        <v>S2R1</v>
      </c>
      <c r="N115" s="14" t="str">
        <f t="shared" si="39"/>
        <v>S2R2</v>
      </c>
      <c r="O115" s="14" t="str">
        <f t="shared" si="39"/>
        <v>S2R3</v>
      </c>
    </row>
    <row r="116" spans="1:15" ht="15">
      <c r="A116" s="96" t="s">
        <v>8</v>
      </c>
      <c r="B116" s="84">
        <v>0.03781534080237863</v>
      </c>
      <c r="C116" s="85">
        <v>0.0443846820423446</v>
      </c>
      <c r="D116" s="85">
        <v>0.043243496620874615</v>
      </c>
      <c r="E116" s="86">
        <v>0.02949576240750777</v>
      </c>
      <c r="F116" s="85">
        <v>0.057619441163557425</v>
      </c>
      <c r="G116" s="87">
        <v>0.05366563145999283</v>
      </c>
      <c r="I116" s="112" t="s">
        <v>8</v>
      </c>
      <c r="J116" s="84">
        <v>0.03507135583350128</v>
      </c>
      <c r="K116" s="85">
        <v>0.03254057296497965</v>
      </c>
      <c r="L116" s="85">
        <v>0.025495097567958164</v>
      </c>
      <c r="M116" s="86">
        <v>0.025884358211088573</v>
      </c>
      <c r="N116" s="85">
        <v>0.02387467277262812</v>
      </c>
      <c r="O116" s="87">
        <v>0.021679483388683238</v>
      </c>
    </row>
    <row r="117" spans="1:15" ht="15">
      <c r="A117" s="96" t="s">
        <v>9</v>
      </c>
      <c r="B117" s="35">
        <v>0.03060501048303705</v>
      </c>
      <c r="C117" s="86">
        <v>0.04827007354458579</v>
      </c>
      <c r="D117" s="86">
        <v>0.07274766128352038</v>
      </c>
      <c r="E117" s="86">
        <v>0.029944392908635962</v>
      </c>
      <c r="F117" s="86">
        <v>0.015165750888101534</v>
      </c>
      <c r="G117" s="34">
        <v>0.04546060565661946</v>
      </c>
      <c r="I117" s="112" t="s">
        <v>9</v>
      </c>
      <c r="J117" s="35">
        <v>0.016090024514863847</v>
      </c>
      <c r="K117" s="86">
        <v>0.06589554023014273</v>
      </c>
      <c r="L117" s="86">
        <v>0.03636237371545089</v>
      </c>
      <c r="M117" s="86">
        <v>0.055697596197881186</v>
      </c>
      <c r="N117" s="86">
        <v>0.05160749299601233</v>
      </c>
      <c r="O117" s="34">
        <v>0.04764451699828632</v>
      </c>
    </row>
    <row r="118" spans="1:15" ht="15">
      <c r="A118" s="96" t="s">
        <v>10</v>
      </c>
      <c r="B118" s="35">
        <v>3.152673059837001</v>
      </c>
      <c r="C118" s="86">
        <v>3.410102373829904</v>
      </c>
      <c r="D118" s="86">
        <v>1.30430387137669</v>
      </c>
      <c r="E118" s="86">
        <v>1.6359924680620643</v>
      </c>
      <c r="F118" s="86">
        <v>3.198112478044185</v>
      </c>
      <c r="G118" s="34">
        <v>3.634099643958945</v>
      </c>
      <c r="I118" s="112" t="s">
        <v>10</v>
      </c>
      <c r="J118" s="35">
        <v>3.267734821962668</v>
      </c>
      <c r="K118" s="86">
        <v>2.099415844678859</v>
      </c>
      <c r="L118" s="86">
        <v>2.4371446863535993</v>
      </c>
      <c r="M118" s="86">
        <v>2.547275516224136</v>
      </c>
      <c r="N118" s="86">
        <v>3.1580761689500148</v>
      </c>
      <c r="O118" s="34">
        <v>2.032476048786043</v>
      </c>
    </row>
    <row r="119" spans="1:15" ht="15">
      <c r="A119" s="96" t="s">
        <v>11</v>
      </c>
      <c r="B119" s="35">
        <v>0.27495172232715664</v>
      </c>
      <c r="C119" s="86">
        <v>0.5764774366052303</v>
      </c>
      <c r="D119" s="86">
        <v>0.27996965803213225</v>
      </c>
      <c r="E119" s="86">
        <v>0.29130953448715313</v>
      </c>
      <c r="F119" s="86">
        <v>0.5632519925658982</v>
      </c>
      <c r="G119" s="34">
        <v>0.22295217030939674</v>
      </c>
      <c r="I119" s="112" t="s">
        <v>11</v>
      </c>
      <c r="J119" s="35">
        <v>0.38575327370244333</v>
      </c>
      <c r="K119" s="86">
        <v>0.8551903429941675</v>
      </c>
      <c r="L119" s="86">
        <v>0.10082875312237762</v>
      </c>
      <c r="M119" s="86">
        <v>0.6685630418244959</v>
      </c>
      <c r="N119" s="86">
        <v>0.5954348631494584</v>
      </c>
      <c r="O119" s="34">
        <v>0.1762705447416356</v>
      </c>
    </row>
    <row r="120" spans="1:15" ht="15">
      <c r="A120" s="96" t="s">
        <v>12</v>
      </c>
      <c r="B120" s="35">
        <v>1.396309373551504</v>
      </c>
      <c r="C120" s="86">
        <v>3.8752897640763746</v>
      </c>
      <c r="D120" s="86">
        <v>3.0106057566912914</v>
      </c>
      <c r="E120" s="86">
        <v>2.4682679667238117</v>
      </c>
      <c r="F120" s="86">
        <v>2.053694051108151</v>
      </c>
      <c r="G120" s="34">
        <v>3.7428520794825446</v>
      </c>
      <c r="I120" s="112" t="s">
        <v>12</v>
      </c>
      <c r="J120" s="35">
        <v>2.598455192780516</v>
      </c>
      <c r="K120" s="86">
        <v>3.090901274529618</v>
      </c>
      <c r="L120" s="86">
        <v>3.39178324123985</v>
      </c>
      <c r="M120" s="86">
        <v>3.573546780005497</v>
      </c>
      <c r="N120" s="86">
        <v>2.271868120194358</v>
      </c>
      <c r="O120" s="34">
        <v>2.0752385619221037</v>
      </c>
    </row>
    <row r="121" spans="1:15" ht="15">
      <c r="A121" s="96" t="s">
        <v>13</v>
      </c>
      <c r="B121" s="35">
        <v>0.5133120056467947</v>
      </c>
      <c r="C121" s="86">
        <v>0.25127532461923063</v>
      </c>
      <c r="D121" s="86">
        <v>0.632334312364988</v>
      </c>
      <c r="E121" s="86">
        <v>0.446976578867173</v>
      </c>
      <c r="F121" s="86">
        <v>0.5222686112344129</v>
      </c>
      <c r="G121" s="34">
        <v>0.5873435745829991</v>
      </c>
      <c r="I121" s="112" t="s">
        <v>13</v>
      </c>
      <c r="J121" s="35">
        <v>0.5758015612258794</v>
      </c>
      <c r="K121" s="86">
        <v>0.37078872680867886</v>
      </c>
      <c r="L121" s="86">
        <v>0.7016209877449885</v>
      </c>
      <c r="M121" s="86">
        <v>0.4585621864725821</v>
      </c>
      <c r="N121" s="86">
        <v>0.568485949881315</v>
      </c>
      <c r="O121" s="34">
        <v>0.5911919866766782</v>
      </c>
    </row>
    <row r="122" spans="1:15" ht="15">
      <c r="A122" s="96" t="s">
        <v>14</v>
      </c>
      <c r="B122" s="48">
        <v>4.760155599697698</v>
      </c>
      <c r="C122" s="48">
        <v>5.978002035239966</v>
      </c>
      <c r="D122" s="48">
        <v>6.028631436735847</v>
      </c>
      <c r="E122" s="48">
        <v>4.702440465687302</v>
      </c>
      <c r="F122" s="48">
        <v>7.146994123406015</v>
      </c>
      <c r="G122" s="89">
        <v>6.925633641287526</v>
      </c>
      <c r="I122" s="112" t="s">
        <v>14</v>
      </c>
      <c r="J122" s="48">
        <v>3.6917610973626114</v>
      </c>
      <c r="K122" s="48">
        <v>5.835978181361998</v>
      </c>
      <c r="L122" s="48">
        <v>2.5794056162870755</v>
      </c>
      <c r="M122" s="48">
        <v>1.760613908082427</v>
      </c>
      <c r="N122" s="48">
        <v>9.458579438795251</v>
      </c>
      <c r="O122" s="89">
        <v>6.240961891674491</v>
      </c>
    </row>
    <row r="123" spans="1:15" ht="15">
      <c r="A123" s="96" t="s">
        <v>15</v>
      </c>
      <c r="B123" s="35">
        <v>1.6064620547442592</v>
      </c>
      <c r="C123" s="33">
        <v>3.339119844110637</v>
      </c>
      <c r="D123" s="33">
        <v>3.386995177636541</v>
      </c>
      <c r="E123" s="86">
        <v>4.269901989507465</v>
      </c>
      <c r="F123" s="86">
        <v>2.917597699021084</v>
      </c>
      <c r="G123" s="34">
        <v>1.0114575291791745</v>
      </c>
      <c r="I123" s="112" t="s">
        <v>15</v>
      </c>
      <c r="J123" s="35">
        <v>2.539042404792271</v>
      </c>
      <c r="K123" s="33">
        <v>4.407006391342501</v>
      </c>
      <c r="L123" s="33">
        <v>1.697181585256356</v>
      </c>
      <c r="M123" s="86">
        <v>2.336018264768738</v>
      </c>
      <c r="N123" s="86">
        <v>2.5170977997157102</v>
      </c>
      <c r="O123" s="34">
        <v>2.640804864682982</v>
      </c>
    </row>
    <row r="124" spans="1:15" ht="15">
      <c r="A124" s="97" t="s">
        <v>16</v>
      </c>
      <c r="B124" s="91">
        <v>0.06367852856340174</v>
      </c>
      <c r="C124" s="92">
        <v>0.060464810702865315</v>
      </c>
      <c r="D124" s="92">
        <v>0.0714807106847716</v>
      </c>
      <c r="E124" s="92">
        <v>0.11157400234821732</v>
      </c>
      <c r="F124" s="92">
        <v>0.08861955515322531</v>
      </c>
      <c r="G124" s="93">
        <v>0.08040710513104908</v>
      </c>
      <c r="I124" s="113" t="s">
        <v>16</v>
      </c>
      <c r="J124" s="91">
        <v>0.09479808542370477</v>
      </c>
      <c r="K124" s="92">
        <v>0.08199043846693353</v>
      </c>
      <c r="L124" s="92">
        <v>0.06527109535536303</v>
      </c>
      <c r="M124" s="92">
        <v>0.10340080700308323</v>
      </c>
      <c r="N124" s="92">
        <v>0.0641375337906028</v>
      </c>
      <c r="O124" s="93">
        <v>0.08838849032663827</v>
      </c>
    </row>
    <row r="125" spans="5:15" ht="15">
      <c r="E125" s="13"/>
      <c r="F125" s="13"/>
      <c r="G125" s="13"/>
      <c r="J125" s="2"/>
      <c r="K125" s="2"/>
      <c r="L125" s="2"/>
      <c r="M125" s="13"/>
      <c r="N125" s="13"/>
      <c r="O125" s="13"/>
    </row>
    <row r="126" spans="1:15" ht="15.75">
      <c r="A126" s="11" t="s">
        <v>19</v>
      </c>
      <c r="B126" s="12"/>
      <c r="E126" s="13"/>
      <c r="F126" s="13"/>
      <c r="G126" s="13"/>
      <c r="I126" s="11" t="s">
        <v>19</v>
      </c>
      <c r="J126" s="12"/>
      <c r="K126" s="2"/>
      <c r="L126" s="2"/>
      <c r="M126" s="13"/>
      <c r="N126" s="13"/>
      <c r="O126" s="13"/>
    </row>
    <row r="127" spans="1:15" ht="15">
      <c r="A127" s="65"/>
      <c r="B127" s="14" t="str">
        <f aca="true" t="shared" si="40" ref="B127:G127">+B115</f>
        <v>S1R1</v>
      </c>
      <c r="C127" s="14" t="str">
        <f t="shared" si="40"/>
        <v>S1R2</v>
      </c>
      <c r="D127" s="14" t="str">
        <f t="shared" si="40"/>
        <v>S1R3</v>
      </c>
      <c r="E127" s="14" t="str">
        <f t="shared" si="40"/>
        <v>S2R1</v>
      </c>
      <c r="F127" s="14" t="str">
        <f t="shared" si="40"/>
        <v>S2R2</v>
      </c>
      <c r="G127" s="14" t="str">
        <f t="shared" si="40"/>
        <v>S2R3</v>
      </c>
      <c r="I127" s="111"/>
      <c r="J127" s="14" t="str">
        <f aca="true" t="shared" si="41" ref="J127:O127">+J115</f>
        <v>S1R1</v>
      </c>
      <c r="K127" s="14" t="str">
        <f t="shared" si="41"/>
        <v>S1R2</v>
      </c>
      <c r="L127" s="14" t="str">
        <f t="shared" si="41"/>
        <v>S1R3</v>
      </c>
      <c r="M127" s="14" t="str">
        <f t="shared" si="41"/>
        <v>S2R1</v>
      </c>
      <c r="N127" s="14" t="str">
        <f t="shared" si="41"/>
        <v>S2R2</v>
      </c>
      <c r="O127" s="14" t="str">
        <f t="shared" si="41"/>
        <v>S2R3</v>
      </c>
    </row>
    <row r="128" spans="1:15" ht="15">
      <c r="A128" s="96" t="s">
        <v>8</v>
      </c>
      <c r="B128" s="84">
        <v>0.02277913275102315</v>
      </c>
      <c r="C128" s="85">
        <v>0.027628487713467546</v>
      </c>
      <c r="D128" s="85">
        <v>0.02460803843372173</v>
      </c>
      <c r="E128" s="86">
        <v>0.04037325847636745</v>
      </c>
      <c r="F128" s="85">
        <v>0.044309517412550264</v>
      </c>
      <c r="G128" s="87">
        <v>0.02828427124745642</v>
      </c>
      <c r="I128" s="112" t="s">
        <v>8</v>
      </c>
      <c r="J128" s="84">
        <v>0.014142135623734097</v>
      </c>
      <c r="K128" s="85">
        <v>0.018165902124583338</v>
      </c>
      <c r="L128" s="85">
        <v>0.036178569469908925</v>
      </c>
      <c r="M128" s="86">
        <v>0.015456030825833703</v>
      </c>
      <c r="N128" s="85">
        <v>0.03114482300479173</v>
      </c>
      <c r="O128" s="87">
        <v>0.024152294576985665</v>
      </c>
    </row>
    <row r="129" spans="1:15" ht="15">
      <c r="A129" s="96" t="s">
        <v>9</v>
      </c>
      <c r="B129" s="35">
        <v>0.03324989557210207</v>
      </c>
      <c r="C129" s="86">
        <v>0.06087327455916436</v>
      </c>
      <c r="D129" s="86">
        <v>0.03472111109333138</v>
      </c>
      <c r="E129" s="86">
        <v>0.04604345773288426</v>
      </c>
      <c r="F129" s="86">
        <v>0.07402702209328801</v>
      </c>
      <c r="G129" s="34">
        <v>0.04381780460041493</v>
      </c>
      <c r="I129" s="112" t="s">
        <v>9</v>
      </c>
      <c r="J129" s="35">
        <v>0.01894436298450802</v>
      </c>
      <c r="K129" s="86">
        <v>0.02302172886644575</v>
      </c>
      <c r="L129" s="86">
        <v>0.024426761280751094</v>
      </c>
      <c r="M129" s="86">
        <v>0.031180478223115055</v>
      </c>
      <c r="N129" s="86">
        <v>0.0522494019104505</v>
      </c>
      <c r="O129" s="34">
        <v>0.034448028487370205</v>
      </c>
    </row>
    <row r="130" spans="1:15" ht="15">
      <c r="A130" s="96" t="s">
        <v>10</v>
      </c>
      <c r="B130" s="35">
        <v>4.204664325352014</v>
      </c>
      <c r="C130" s="86">
        <v>4.941340688517748</v>
      </c>
      <c r="D130" s="86">
        <v>2.849161904061541</v>
      </c>
      <c r="E130" s="86">
        <v>1.844421432922014</v>
      </c>
      <c r="F130" s="86">
        <v>4.516733951528432</v>
      </c>
      <c r="G130" s="34">
        <v>2.3568777651799064</v>
      </c>
      <c r="I130" s="112" t="s">
        <v>10</v>
      </c>
      <c r="J130" s="35">
        <v>1.7945569183879069</v>
      </c>
      <c r="K130" s="86">
        <v>2.2153625737860767</v>
      </c>
      <c r="L130" s="86">
        <v>1.3153247507745345</v>
      </c>
      <c r="M130" s="86">
        <v>1.6941212471368856</v>
      </c>
      <c r="N130" s="86">
        <v>3.89709078530244</v>
      </c>
      <c r="O130" s="34">
        <v>0.8420642493308772</v>
      </c>
    </row>
    <row r="131" spans="1:15" ht="15">
      <c r="A131" s="96" t="s">
        <v>11</v>
      </c>
      <c r="B131" s="35">
        <v>0.38397535789262216</v>
      </c>
      <c r="C131" s="86">
        <v>0.46881648496366823</v>
      </c>
      <c r="D131" s="86">
        <v>0.44227794997453</v>
      </c>
      <c r="E131" s="86">
        <v>0.367143923563581</v>
      </c>
      <c r="F131" s="86">
        <v>0.7714561782372429</v>
      </c>
      <c r="G131" s="34">
        <v>0.5854816650032589</v>
      </c>
      <c r="I131" s="112" t="s">
        <v>11</v>
      </c>
      <c r="J131" s="35">
        <v>0.3207546396429538</v>
      </c>
      <c r="K131" s="86">
        <v>0.39128092770568806</v>
      </c>
      <c r="L131" s="86">
        <v>0.30925133318002346</v>
      </c>
      <c r="M131" s="86">
        <v>0.3249350450909469</v>
      </c>
      <c r="N131" s="86">
        <v>0.5607288508338589</v>
      </c>
      <c r="O131" s="34">
        <v>0.2603999457716099</v>
      </c>
    </row>
    <row r="132" spans="1:15" ht="15">
      <c r="A132" s="96" t="s">
        <v>12</v>
      </c>
      <c r="B132" s="35">
        <v>2.5954786113974593</v>
      </c>
      <c r="C132" s="86">
        <v>4.747787802990132</v>
      </c>
      <c r="D132" s="86">
        <v>4.2864675394392</v>
      </c>
      <c r="E132" s="86">
        <v>3.4579822440260837</v>
      </c>
      <c r="F132" s="86">
        <v>4.48988837154002</v>
      </c>
      <c r="G132" s="34">
        <v>2.583064304270742</v>
      </c>
      <c r="I132" s="112" t="s">
        <v>12</v>
      </c>
      <c r="J132" s="35">
        <v>1.7716798588406963</v>
      </c>
      <c r="K132" s="86">
        <v>2.5301098307298977</v>
      </c>
      <c r="L132" s="86">
        <v>1.7324863058624504</v>
      </c>
      <c r="M132" s="86">
        <v>1.9877645120978278</v>
      </c>
      <c r="N132" s="86">
        <v>2.795289851796287</v>
      </c>
      <c r="O132" s="34">
        <v>1.2963465414598079</v>
      </c>
    </row>
    <row r="133" spans="1:15" ht="15">
      <c r="A133" s="96" t="s">
        <v>13</v>
      </c>
      <c r="B133" s="35">
        <v>0.4923450243379802</v>
      </c>
      <c r="C133" s="86">
        <v>0.43900979117191874</v>
      </c>
      <c r="D133" s="86">
        <v>0.8348760211670262</v>
      </c>
      <c r="E133" s="86">
        <v>0.5769884151215736</v>
      </c>
      <c r="F133" s="86">
        <v>0.7527644249634001</v>
      </c>
      <c r="G133" s="34">
        <v>0.8539334573352566</v>
      </c>
      <c r="I133" s="112" t="s">
        <v>13</v>
      </c>
      <c r="J133" s="35">
        <v>0.7920530168130141</v>
      </c>
      <c r="K133" s="86">
        <v>0.42144431040795594</v>
      </c>
      <c r="L133" s="86">
        <v>0.7109327138718438</v>
      </c>
      <c r="M133" s="86">
        <v>0.3881192234052681</v>
      </c>
      <c r="N133" s="86">
        <v>0.6736616101598509</v>
      </c>
      <c r="O133" s="34">
        <v>0.7762226423948019</v>
      </c>
    </row>
    <row r="134" spans="1:15" ht="15">
      <c r="A134" s="96" t="s">
        <v>14</v>
      </c>
      <c r="B134" s="48">
        <v>5.123630093335527</v>
      </c>
      <c r="C134" s="48">
        <v>3.5491987828240976</v>
      </c>
      <c r="D134" s="48">
        <v>3.111816404181541</v>
      </c>
      <c r="E134" s="48">
        <v>4.547973211589244</v>
      </c>
      <c r="F134" s="48">
        <v>1.8635538629188917</v>
      </c>
      <c r="G134" s="89">
        <v>5.2371337899020105</v>
      </c>
      <c r="I134" s="112" t="s">
        <v>14</v>
      </c>
      <c r="J134" s="48">
        <v>3.049727364863967</v>
      </c>
      <c r="K134" s="48">
        <v>3.0575362630719503</v>
      </c>
      <c r="L134" s="48">
        <v>2.849867599263756</v>
      </c>
      <c r="M134" s="48">
        <v>2.980887787220446</v>
      </c>
      <c r="N134" s="48">
        <v>3.3999747057882876</v>
      </c>
      <c r="O134" s="89">
        <v>3.78253834525619</v>
      </c>
    </row>
    <row r="135" spans="1:15" ht="15">
      <c r="A135" s="96" t="s">
        <v>15</v>
      </c>
      <c r="B135" s="35">
        <v>3.3831543466612986</v>
      </c>
      <c r="C135" s="33">
        <v>1.869858372533409</v>
      </c>
      <c r="D135" s="33">
        <v>1.9921814676379308</v>
      </c>
      <c r="E135" s="86">
        <v>1.0097689504699103</v>
      </c>
      <c r="F135" s="86">
        <v>1.9553601543791028</v>
      </c>
      <c r="G135" s="34">
        <v>3.4324564090458556</v>
      </c>
      <c r="I135" s="112" t="s">
        <v>15</v>
      </c>
      <c r="J135" s="35">
        <v>2.8499176011480074</v>
      </c>
      <c r="K135" s="33">
        <v>1.851420625717853</v>
      </c>
      <c r="L135" s="33">
        <v>3.0813592779810857</v>
      </c>
      <c r="M135" s="86">
        <v>1.10563707125501</v>
      </c>
      <c r="N135" s="86">
        <v>2.40590170206513</v>
      </c>
      <c r="O135" s="34">
        <v>11.294535492883265</v>
      </c>
    </row>
    <row r="136" spans="1:15" ht="15">
      <c r="A136" s="97" t="s">
        <v>16</v>
      </c>
      <c r="B136" s="91">
        <v>0.08032185464326233</v>
      </c>
      <c r="C136" s="92">
        <v>0.07998123877232435</v>
      </c>
      <c r="D136" s="92">
        <v>0.03119418571179917</v>
      </c>
      <c r="E136" s="92">
        <v>0.04021690219574658</v>
      </c>
      <c r="F136" s="92">
        <v>0.03461651821505629</v>
      </c>
      <c r="G136" s="93">
        <v>0.09008158462687532</v>
      </c>
      <c r="I136" s="113" t="s">
        <v>16</v>
      </c>
      <c r="J136" s="91">
        <v>0.08749681073552837</v>
      </c>
      <c r="K136" s="92">
        <v>0.0675136101505132</v>
      </c>
      <c r="L136" s="92">
        <v>0.030411224170617923</v>
      </c>
      <c r="M136" s="92">
        <v>0.032104141304337794</v>
      </c>
      <c r="N136" s="92">
        <v>0.01175424273282752</v>
      </c>
      <c r="O136" s="93">
        <v>0.038909941603085564</v>
      </c>
    </row>
    <row r="137" spans="1:15" ht="15">
      <c r="A137" s="48"/>
      <c r="B137" s="48"/>
      <c r="C137" s="48"/>
      <c r="D137" s="48"/>
      <c r="E137" s="94"/>
      <c r="F137" s="94"/>
      <c r="G137" s="94"/>
      <c r="I137" s="114"/>
      <c r="J137" s="48"/>
      <c r="K137" s="48"/>
      <c r="L137" s="48"/>
      <c r="M137" s="94"/>
      <c r="N137" s="94"/>
      <c r="O137" s="94"/>
    </row>
    <row r="138" spans="1:15" ht="15.75">
      <c r="A138" s="11" t="s">
        <v>20</v>
      </c>
      <c r="B138" s="95"/>
      <c r="C138" s="48"/>
      <c r="D138" s="48"/>
      <c r="E138" s="94"/>
      <c r="F138" s="94"/>
      <c r="G138" s="94"/>
      <c r="I138" s="11" t="s">
        <v>20</v>
      </c>
      <c r="J138" s="95"/>
      <c r="K138" s="48"/>
      <c r="L138" s="48"/>
      <c r="M138" s="94"/>
      <c r="N138" s="94"/>
      <c r="O138" s="94"/>
    </row>
    <row r="139" spans="1:15" ht="15">
      <c r="A139" s="65"/>
      <c r="B139" s="14" t="str">
        <f aca="true" t="shared" si="42" ref="B139:G139">+B127</f>
        <v>S1R1</v>
      </c>
      <c r="C139" s="14" t="str">
        <f t="shared" si="42"/>
        <v>S1R2</v>
      </c>
      <c r="D139" s="14" t="str">
        <f t="shared" si="42"/>
        <v>S1R3</v>
      </c>
      <c r="E139" s="14" t="str">
        <f t="shared" si="42"/>
        <v>S2R1</v>
      </c>
      <c r="F139" s="14" t="str">
        <f t="shared" si="42"/>
        <v>S2R2</v>
      </c>
      <c r="G139" s="14" t="str">
        <f t="shared" si="42"/>
        <v>S2R3</v>
      </c>
      <c r="I139" s="111"/>
      <c r="J139" s="14" t="str">
        <f aca="true" t="shared" si="43" ref="J139:O139">+J127</f>
        <v>S1R1</v>
      </c>
      <c r="K139" s="14" t="str">
        <f t="shared" si="43"/>
        <v>S1R2</v>
      </c>
      <c r="L139" s="14" t="str">
        <f t="shared" si="43"/>
        <v>S1R3</v>
      </c>
      <c r="M139" s="14" t="str">
        <f t="shared" si="43"/>
        <v>S2R1</v>
      </c>
      <c r="N139" s="14" t="str">
        <f t="shared" si="43"/>
        <v>S2R2</v>
      </c>
      <c r="O139" s="14" t="str">
        <f t="shared" si="43"/>
        <v>S2R3</v>
      </c>
    </row>
    <row r="140" spans="1:15" ht="15">
      <c r="A140" s="96" t="s">
        <v>8</v>
      </c>
      <c r="B140" s="84">
        <v>0.02062899792902406</v>
      </c>
      <c r="C140" s="85">
        <v>0.025538641745842677</v>
      </c>
      <c r="D140" s="85">
        <v>0.02218608172306093</v>
      </c>
      <c r="E140" s="86">
        <v>0.025099800796024866</v>
      </c>
      <c r="F140" s="85">
        <v>0.014142135623730172</v>
      </c>
      <c r="G140" s="87">
        <v>0.02575525836276103</v>
      </c>
      <c r="I140" s="112" t="s">
        <v>8</v>
      </c>
      <c r="J140" s="84">
        <v>0.018767584347017606</v>
      </c>
      <c r="K140" s="85">
        <v>0.01090361815585907</v>
      </c>
      <c r="L140" s="85">
        <v>0.022779132751028025</v>
      </c>
      <c r="M140" s="86">
        <v>0.012382783747333538</v>
      </c>
      <c r="N140" s="85">
        <v>0.021807236311725778</v>
      </c>
      <c r="O140" s="87">
        <v>0.011205157542644811</v>
      </c>
    </row>
    <row r="141" spans="1:15" ht="15">
      <c r="A141" s="96" t="s">
        <v>9</v>
      </c>
      <c r="B141" s="35">
        <v>0.07191816336797387</v>
      </c>
      <c r="C141" s="86">
        <v>0.06832926817176395</v>
      </c>
      <c r="D141" s="86">
        <v>0.033747427885526336</v>
      </c>
      <c r="E141" s="86">
        <v>0.01643167672516151</v>
      </c>
      <c r="F141" s="86">
        <v>0.05887840577551574</v>
      </c>
      <c r="G141" s="34">
        <v>0.039581140290129824</v>
      </c>
      <c r="I141" s="112" t="s">
        <v>9</v>
      </c>
      <c r="J141" s="35">
        <v>0.03608631627393138</v>
      </c>
      <c r="K141" s="86">
        <v>0.02013840995599352</v>
      </c>
      <c r="L141" s="86">
        <v>0.04169998667732349</v>
      </c>
      <c r="M141" s="86">
        <v>0.03439961240091526</v>
      </c>
      <c r="N141" s="86">
        <v>0.048189440982669904</v>
      </c>
      <c r="O141" s="34">
        <v>0.02953340857778313</v>
      </c>
    </row>
    <row r="142" spans="1:15" ht="15">
      <c r="A142" s="96" t="s">
        <v>10</v>
      </c>
      <c r="B142" s="35">
        <v>1.8746522788683713</v>
      </c>
      <c r="C142" s="86">
        <v>1.9507356105381637</v>
      </c>
      <c r="D142" s="86">
        <v>2.806789807274853</v>
      </c>
      <c r="E142" s="86">
        <v>3.623458679217945</v>
      </c>
      <c r="F142" s="86">
        <v>1.8882247453332999</v>
      </c>
      <c r="G142" s="34">
        <v>1.710816121037313</v>
      </c>
      <c r="I142" s="112" t="s">
        <v>10</v>
      </c>
      <c r="J142" s="35">
        <v>1.3676463074287406</v>
      </c>
      <c r="K142" s="86">
        <v>1.4097357987309926</v>
      </c>
      <c r="L142" s="86">
        <v>2.8667678896856845</v>
      </c>
      <c r="M142" s="86">
        <v>3.2809655980448977</v>
      </c>
      <c r="N142" s="86">
        <v>2.722796617858752</v>
      </c>
      <c r="O142" s="34">
        <v>2.1445627578186146</v>
      </c>
    </row>
    <row r="143" spans="1:15" ht="15">
      <c r="A143" s="96" t="s">
        <v>11</v>
      </c>
      <c r="B143" s="35">
        <v>0.6098051548968559</v>
      </c>
      <c r="C143" s="86">
        <v>0.5058984111967385</v>
      </c>
      <c r="D143" s="86">
        <v>0.37454074125689035</v>
      </c>
      <c r="E143" s="86">
        <v>0.42895518412501144</v>
      </c>
      <c r="F143" s="86">
        <v>0.6010104722981923</v>
      </c>
      <c r="G143" s="34">
        <v>0.322382930858017</v>
      </c>
      <c r="I143" s="112" t="s">
        <v>11</v>
      </c>
      <c r="J143" s="35">
        <v>0.2905522835516404</v>
      </c>
      <c r="K143" s="86">
        <v>0.1934881048262958</v>
      </c>
      <c r="L143" s="86">
        <v>0.5158671656490411</v>
      </c>
      <c r="M143" s="86">
        <v>0.5705677749822341</v>
      </c>
      <c r="N143" s="86">
        <v>0.47347574480524585</v>
      </c>
      <c r="O143" s="34">
        <v>0.42166349759765503</v>
      </c>
    </row>
    <row r="144" spans="1:15" ht="15">
      <c r="A144" s="96" t="s">
        <v>12</v>
      </c>
      <c r="B144" s="35">
        <v>4.261948860426367</v>
      </c>
      <c r="C144" s="86">
        <v>3.0596948468033762</v>
      </c>
      <c r="D144" s="86">
        <v>3.155780995077239</v>
      </c>
      <c r="E144" s="86">
        <v>4.028782614582059</v>
      </c>
      <c r="F144" s="86">
        <v>3.617570842430097</v>
      </c>
      <c r="G144" s="34">
        <v>1.9697244364517152</v>
      </c>
      <c r="I144" s="112" t="s">
        <v>12</v>
      </c>
      <c r="J144" s="35">
        <v>1.7624099409611873</v>
      </c>
      <c r="K144" s="86">
        <v>2.2011571628477093</v>
      </c>
      <c r="L144" s="86">
        <v>3.0455909990235113</v>
      </c>
      <c r="M144" s="86">
        <v>4.184029780008862</v>
      </c>
      <c r="N144" s="86">
        <v>3.3022805587787185</v>
      </c>
      <c r="O144" s="34">
        <v>2.6263800858890707</v>
      </c>
    </row>
    <row r="145" spans="1:15" ht="15">
      <c r="A145" s="96" t="s">
        <v>13</v>
      </c>
      <c r="B145" s="35">
        <v>0.7931039422211525</v>
      </c>
      <c r="C145" s="86">
        <v>1.2250627566337258</v>
      </c>
      <c r="D145" s="86">
        <v>0.48075435657929866</v>
      </c>
      <c r="E145" s="86">
        <v>0.9514007802709533</v>
      </c>
      <c r="F145" s="86">
        <v>1.0651625144025112</v>
      </c>
      <c r="G145" s="34">
        <v>0.5186362427172796</v>
      </c>
      <c r="I145" s="112" t="s">
        <v>13</v>
      </c>
      <c r="J145" s="35">
        <v>0.7864483110203855</v>
      </c>
      <c r="K145" s="86">
        <v>0.6990674159151408</v>
      </c>
      <c r="L145" s="86">
        <v>0.66205891588462</v>
      </c>
      <c r="M145" s="86">
        <v>1.0611662415125136</v>
      </c>
      <c r="N145" s="86">
        <v>0.8303520272849161</v>
      </c>
      <c r="O145" s="34">
        <v>0.8793374484972811</v>
      </c>
    </row>
    <row r="146" spans="1:15" ht="15">
      <c r="A146" s="96" t="s">
        <v>14</v>
      </c>
      <c r="B146" s="48">
        <v>6.1722921458185445</v>
      </c>
      <c r="C146" s="48">
        <v>1.482441567145227</v>
      </c>
      <c r="D146" s="48">
        <v>9.506474705869328</v>
      </c>
      <c r="E146" s="48">
        <v>4.873510028716453</v>
      </c>
      <c r="F146" s="48">
        <v>1.5272632386068175</v>
      </c>
      <c r="G146" s="89">
        <v>2.5689299977487274</v>
      </c>
      <c r="I146" s="112" t="s">
        <v>14</v>
      </c>
      <c r="J146" s="48">
        <v>2.9028815568902178</v>
      </c>
      <c r="K146" s="48">
        <v>1.5639406425223576</v>
      </c>
      <c r="L146" s="48">
        <v>3.558937107246109</v>
      </c>
      <c r="M146" s="48">
        <v>0.7735847292530057</v>
      </c>
      <c r="N146" s="48">
        <v>1.3967492020163674</v>
      </c>
      <c r="O146" s="89">
        <v>3.4961133181482063</v>
      </c>
    </row>
    <row r="147" spans="1:15" ht="15">
      <c r="A147" s="96" t="s">
        <v>15</v>
      </c>
      <c r="B147" s="35">
        <v>6.487190557809551</v>
      </c>
      <c r="C147" s="33">
        <v>3.085727142830354</v>
      </c>
      <c r="D147" s="33">
        <v>3.9117496511578493</v>
      </c>
      <c r="E147" s="86">
        <v>6.124170719370905</v>
      </c>
      <c r="F147" s="86">
        <v>7.761918920816768</v>
      </c>
      <c r="G147" s="34">
        <v>7.617521709847644</v>
      </c>
      <c r="I147" s="112" t="s">
        <v>15</v>
      </c>
      <c r="J147" s="35">
        <v>3.4908911947142314</v>
      </c>
      <c r="K147" s="33">
        <v>6.185747893343192</v>
      </c>
      <c r="L147" s="33">
        <v>0.8781958779226261</v>
      </c>
      <c r="M147" s="86">
        <v>5.543185486102141</v>
      </c>
      <c r="N147" s="86">
        <v>5.408891322011691</v>
      </c>
      <c r="O147" s="34">
        <v>6.365805133681047</v>
      </c>
    </row>
    <row r="148" spans="1:15" ht="15">
      <c r="A148" s="97" t="s">
        <v>16</v>
      </c>
      <c r="B148" s="91">
        <v>0.04067769932312061</v>
      </c>
      <c r="C148" s="92">
        <v>0.07886468157546823</v>
      </c>
      <c r="D148" s="92">
        <v>0.03435975843919735</v>
      </c>
      <c r="E148" s="92">
        <v>0.03952316057987021</v>
      </c>
      <c r="F148" s="92">
        <v>0.06359196140673408</v>
      </c>
      <c r="G148" s="93">
        <v>0.09449075380985988</v>
      </c>
      <c r="I148" s="113" t="s">
        <v>16</v>
      </c>
      <c r="J148" s="91">
        <v>0.05571137725416175</v>
      </c>
      <c r="K148" s="92">
        <v>0.11315916666359828</v>
      </c>
      <c r="L148" s="92">
        <v>0.044265317499520375</v>
      </c>
      <c r="M148" s="92">
        <v>0.053825213009848716</v>
      </c>
      <c r="N148" s="92">
        <v>0.06050418029635081</v>
      </c>
      <c r="O148" s="93">
        <v>0.1198452835951419</v>
      </c>
    </row>
    <row r="149" spans="2:15" ht="15">
      <c r="B149" s="48"/>
      <c r="C149" s="48"/>
      <c r="D149" s="48"/>
      <c r="E149" s="94"/>
      <c r="F149" s="94"/>
      <c r="G149" s="94"/>
      <c r="J149" s="48"/>
      <c r="K149" s="48"/>
      <c r="L149" s="48"/>
      <c r="M149" s="94"/>
      <c r="N149" s="94"/>
      <c r="O149" s="94"/>
    </row>
    <row r="150" spans="1:15" ht="15.75">
      <c r="A150" s="11" t="s">
        <v>21</v>
      </c>
      <c r="B150" s="95"/>
      <c r="C150" s="48"/>
      <c r="D150" s="48"/>
      <c r="E150" s="94"/>
      <c r="F150" s="94"/>
      <c r="G150" s="94"/>
      <c r="I150" s="11" t="s">
        <v>21</v>
      </c>
      <c r="J150" s="95"/>
      <c r="K150" s="48"/>
      <c r="L150" s="48"/>
      <c r="M150" s="94"/>
      <c r="N150" s="94"/>
      <c r="O150" s="94"/>
    </row>
    <row r="151" spans="1:15" ht="15">
      <c r="A151" s="65"/>
      <c r="B151" s="14" t="str">
        <f aca="true" t="shared" si="44" ref="B151:G151">+B139</f>
        <v>S1R1</v>
      </c>
      <c r="C151" s="14" t="str">
        <f t="shared" si="44"/>
        <v>S1R2</v>
      </c>
      <c r="D151" s="14" t="str">
        <f t="shared" si="44"/>
        <v>S1R3</v>
      </c>
      <c r="E151" s="14" t="str">
        <f t="shared" si="44"/>
        <v>S2R1</v>
      </c>
      <c r="F151" s="14" t="str">
        <f t="shared" si="44"/>
        <v>S2R2</v>
      </c>
      <c r="G151" s="14" t="str">
        <f t="shared" si="44"/>
        <v>S2R3</v>
      </c>
      <c r="I151" s="111"/>
      <c r="J151" s="14" t="str">
        <f aca="true" t="shared" si="45" ref="J151:O151">+J139</f>
        <v>S1R1</v>
      </c>
      <c r="K151" s="14" t="str">
        <f t="shared" si="45"/>
        <v>S1R2</v>
      </c>
      <c r="L151" s="14" t="str">
        <f t="shared" si="45"/>
        <v>S1R3</v>
      </c>
      <c r="M151" s="14" t="str">
        <f t="shared" si="45"/>
        <v>S2R1</v>
      </c>
      <c r="N151" s="14" t="str">
        <f t="shared" si="45"/>
        <v>S2R2</v>
      </c>
      <c r="O151" s="14" t="str">
        <f t="shared" si="45"/>
        <v>S2R3</v>
      </c>
    </row>
    <row r="152" spans="1:15" ht="15">
      <c r="A152" s="96" t="s">
        <v>8</v>
      </c>
      <c r="B152" s="84">
        <v>0.011925695880019323</v>
      </c>
      <c r="C152" s="85">
        <v>0.013864422895379641</v>
      </c>
      <c r="D152" s="85">
        <v>0.009603240193898941</v>
      </c>
      <c r="E152" s="86">
        <v>0.015165750888108854</v>
      </c>
      <c r="F152" s="85">
        <v>0.008366600265368162</v>
      </c>
      <c r="G152" s="87">
        <v>0.01425949975744826</v>
      </c>
      <c r="I152" s="112" t="s">
        <v>8</v>
      </c>
      <c r="J152" s="84">
        <v>0.013038404810409689</v>
      </c>
      <c r="K152" s="85">
        <v>0.012110601416392967</v>
      </c>
      <c r="L152" s="85">
        <v>0.012605113600785539</v>
      </c>
      <c r="M152" s="86">
        <v>0.009999999999999449</v>
      </c>
      <c r="N152" s="85">
        <v>0.0073029674333881306</v>
      </c>
      <c r="O152" s="87">
        <v>0.008944271909991218</v>
      </c>
    </row>
    <row r="153" spans="1:15" ht="15">
      <c r="A153" s="96" t="s">
        <v>9</v>
      </c>
      <c r="B153" s="35">
        <v>0.020493901531926737</v>
      </c>
      <c r="C153" s="86">
        <v>0.03076794869124156</v>
      </c>
      <c r="D153" s="86">
        <v>0.013864422895387649</v>
      </c>
      <c r="E153" s="86">
        <v>0.03286335345031289</v>
      </c>
      <c r="F153" s="86">
        <v>0.05449770637375205</v>
      </c>
      <c r="G153" s="34">
        <v>0.024221202832781348</v>
      </c>
      <c r="I153" s="112" t="s">
        <v>9</v>
      </c>
      <c r="J153" s="35">
        <v>0.033549300373563705</v>
      </c>
      <c r="K153" s="86">
        <v>0.026499475885805396</v>
      </c>
      <c r="L153" s="86">
        <v>0.0250111086430719</v>
      </c>
      <c r="M153" s="86">
        <v>0.014794894014121955</v>
      </c>
      <c r="N153" s="86">
        <v>0.04938510796676454</v>
      </c>
      <c r="O153" s="34">
        <v>0.032180049029724246</v>
      </c>
    </row>
    <row r="154" spans="1:15" ht="15">
      <c r="A154" s="96" t="s">
        <v>10</v>
      </c>
      <c r="B154" s="35">
        <v>1.4968681490216686</v>
      </c>
      <c r="C154" s="86">
        <v>4.073638241452388</v>
      </c>
      <c r="D154" s="86">
        <v>1.3227744327739255</v>
      </c>
      <c r="E154" s="86">
        <v>2.6829491339860905</v>
      </c>
      <c r="F154" s="86">
        <v>3.479197516030986</v>
      </c>
      <c r="G154" s="34">
        <v>1.5055130096492877</v>
      </c>
      <c r="I154" s="112" t="s">
        <v>10</v>
      </c>
      <c r="J154" s="35">
        <v>2.6900482193117745</v>
      </c>
      <c r="K154" s="86">
        <v>3.0341644099596956</v>
      </c>
      <c r="L154" s="86">
        <v>2.5479737221739547</v>
      </c>
      <c r="M154" s="86">
        <v>4.752565046606327</v>
      </c>
      <c r="N154" s="86">
        <v>4.221956350108578</v>
      </c>
      <c r="O154" s="34">
        <v>1.6953102043247796</v>
      </c>
    </row>
    <row r="155" spans="1:15" ht="15">
      <c r="A155" s="96" t="s">
        <v>11</v>
      </c>
      <c r="B155" s="35">
        <v>0.3175639830347743</v>
      </c>
      <c r="C155" s="86">
        <v>0.48589527844578917</v>
      </c>
      <c r="D155" s="86">
        <v>0.15604754568783438</v>
      </c>
      <c r="E155" s="86">
        <v>0.37782294082276857</v>
      </c>
      <c r="F155" s="86">
        <v>0.6606621555429489</v>
      </c>
      <c r="G155" s="34">
        <v>0.1945259603479809</v>
      </c>
      <c r="I155" s="112" t="s">
        <v>11</v>
      </c>
      <c r="J155" s="35">
        <v>0.7333051619669054</v>
      </c>
      <c r="K155" s="86">
        <v>0.45440326539911513</v>
      </c>
      <c r="L155" s="86">
        <v>0.3169894115616107</v>
      </c>
      <c r="M155" s="86">
        <v>0.8202258428237075</v>
      </c>
      <c r="N155" s="86">
        <v>0.8909398528168583</v>
      </c>
      <c r="O155" s="34">
        <v>0.4480997413497612</v>
      </c>
    </row>
    <row r="156" spans="1:15" ht="15">
      <c r="A156" s="96" t="s">
        <v>12</v>
      </c>
      <c r="B156" s="35">
        <v>3.2053300436758208</v>
      </c>
      <c r="C156" s="86">
        <v>4.864688810419599</v>
      </c>
      <c r="D156" s="86">
        <v>1.1057863366055756</v>
      </c>
      <c r="E156" s="86">
        <v>3.9940476587043596</v>
      </c>
      <c r="F156" s="86">
        <v>6.100704895520211</v>
      </c>
      <c r="G156" s="34">
        <v>0.6647721581276256</v>
      </c>
      <c r="I156" s="112" t="s">
        <v>12</v>
      </c>
      <c r="J156" s="35">
        <v>4.0946866411104255</v>
      </c>
      <c r="K156" s="86">
        <v>5.153194066682198</v>
      </c>
      <c r="L156" s="86">
        <v>2.650759970691863</v>
      </c>
      <c r="M156" s="86">
        <v>6.159175780897995</v>
      </c>
      <c r="N156" s="86">
        <v>5.585406403198364</v>
      </c>
      <c r="O156" s="34">
        <v>2.509698738007257</v>
      </c>
    </row>
    <row r="157" spans="1:15" ht="15">
      <c r="A157" s="96" t="s">
        <v>13</v>
      </c>
      <c r="B157" s="35">
        <v>1.3690826670775138</v>
      </c>
      <c r="C157" s="86">
        <v>1.4618387475756052</v>
      </c>
      <c r="D157" s="86">
        <v>1.2830108082668807</v>
      </c>
      <c r="E157" s="86">
        <v>1.2475063960824146</v>
      </c>
      <c r="F157" s="86">
        <v>1.3952201323599749</v>
      </c>
      <c r="G157" s="34">
        <v>1.1570041203103458</v>
      </c>
      <c r="I157" s="112" t="s">
        <v>13</v>
      </c>
      <c r="J157" s="35">
        <v>1.3343077373195011</v>
      </c>
      <c r="K157" s="86">
        <v>1.7420818585908833</v>
      </c>
      <c r="L157" s="86">
        <v>1.3921846237467832</v>
      </c>
      <c r="M157" s="86">
        <v>1.332806299307434</v>
      </c>
      <c r="N157" s="86">
        <v>1.362699737729035</v>
      </c>
      <c r="O157" s="34">
        <v>1.5290609532042962</v>
      </c>
    </row>
    <row r="158" spans="1:15" ht="15">
      <c r="A158" s="96" t="s">
        <v>14</v>
      </c>
      <c r="B158" s="48">
        <v>2.7141417305169178</v>
      </c>
      <c r="C158" s="48">
        <v>2.5011727915786435</v>
      </c>
      <c r="D158" s="48">
        <v>5.716398020898567</v>
      </c>
      <c r="E158" s="48">
        <v>5.348011343792527</v>
      </c>
      <c r="F158" s="48">
        <v>1.5118602228160178</v>
      </c>
      <c r="G158" s="89">
        <v>3.877927926096614</v>
      </c>
      <c r="I158" s="112" t="s">
        <v>14</v>
      </c>
      <c r="J158" s="48">
        <v>2.2148212869966164</v>
      </c>
      <c r="K158" s="48">
        <v>1.9392125549648234</v>
      </c>
      <c r="L158" s="48">
        <v>1.1882513763229574</v>
      </c>
      <c r="M158" s="48">
        <v>3.2936758087785942</v>
      </c>
      <c r="N158" s="48">
        <v>0.45522888016185875</v>
      </c>
      <c r="O158" s="89">
        <v>0.5658147517815193</v>
      </c>
    </row>
    <row r="159" spans="1:15" ht="15">
      <c r="A159" s="96" t="s">
        <v>15</v>
      </c>
      <c r="B159" s="35">
        <v>14.619271744287843</v>
      </c>
      <c r="C159" s="33">
        <v>11.55314279031179</v>
      </c>
      <c r="D159" s="33">
        <v>10.72977074933729</v>
      </c>
      <c r="E159" s="86">
        <v>18.82018220776126</v>
      </c>
      <c r="F159" s="86">
        <v>25.602476110720225</v>
      </c>
      <c r="G159" s="34">
        <v>11.936317117659586</v>
      </c>
      <c r="I159" s="112" t="s">
        <v>15</v>
      </c>
      <c r="J159" s="35">
        <v>9.481794292221275</v>
      </c>
      <c r="K159" s="33">
        <v>10.704101379066508</v>
      </c>
      <c r="L159" s="33">
        <v>17.376801239967406</v>
      </c>
      <c r="M159" s="86">
        <v>14.886780388429639</v>
      </c>
      <c r="N159" s="86">
        <v>13.587659302960656</v>
      </c>
      <c r="O159" s="34">
        <v>29.128899161027924</v>
      </c>
    </row>
    <row r="160" spans="1:15" ht="15">
      <c r="A160" s="97" t="s">
        <v>16</v>
      </c>
      <c r="B160" s="91">
        <v>0.04657277697921387</v>
      </c>
      <c r="C160" s="92">
        <v>0.08020813549759155</v>
      </c>
      <c r="D160" s="92">
        <v>0.03084935979886776</v>
      </c>
      <c r="E160" s="92">
        <v>0.018577719630424636</v>
      </c>
      <c r="F160" s="92">
        <v>0.042266798107051265</v>
      </c>
      <c r="G160" s="93">
        <v>0.04985520367357166</v>
      </c>
      <c r="I160" s="113" t="s">
        <v>16</v>
      </c>
      <c r="J160" s="91">
        <v>0.07733720033435099</v>
      </c>
      <c r="K160" s="92">
        <v>0.11399726020099465</v>
      </c>
      <c r="L160" s="92">
        <v>0.036944691394329224</v>
      </c>
      <c r="M160" s="92">
        <v>0.056531716761478557</v>
      </c>
      <c r="N160" s="92">
        <v>0.049227118203960155</v>
      </c>
      <c r="O160" s="93">
        <v>0.07304697900818488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W93"/>
  <sheetViews>
    <sheetView zoomScale="75" zoomScaleNormal="75" workbookViewId="0" topLeftCell="A1">
      <selection activeCell="F37" sqref="F37"/>
    </sheetView>
  </sheetViews>
  <sheetFormatPr defaultColWidth="11.5546875" defaultRowHeight="15"/>
  <cols>
    <col min="1" max="1" width="7.77734375" style="128" customWidth="1"/>
    <col min="2" max="2" width="5.88671875" style="128" customWidth="1"/>
    <col min="3" max="4" width="6.77734375" style="128" customWidth="1"/>
    <col min="5" max="5" width="8.21484375" style="128" customWidth="1"/>
    <col min="6" max="16" width="6.77734375" style="128" customWidth="1"/>
    <col min="17" max="17" width="8.88671875" style="128" customWidth="1" collapsed="1"/>
    <col min="18" max="16384" width="8.88671875" style="128" customWidth="1"/>
  </cols>
  <sheetData>
    <row r="1" spans="1:10" ht="13.5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2" ht="13.5" thickBot="1">
      <c r="A2" s="3"/>
      <c r="B2" s="4"/>
    </row>
    <row r="3" ht="12.75"/>
    <row r="4" ht="12.75">
      <c r="B4" s="149"/>
    </row>
    <row r="5" spans="1:7" ht="12.75">
      <c r="A5" s="150"/>
      <c r="B5" s="151"/>
      <c r="C5" s="150"/>
      <c r="D5" s="152"/>
      <c r="G5" s="150"/>
    </row>
    <row r="6" spans="1:4" ht="12" customHeight="1">
      <c r="A6" s="153"/>
      <c r="B6" s="151"/>
      <c r="C6" s="151"/>
      <c r="D6" s="150"/>
    </row>
    <row r="7" spans="2:3" ht="12.75">
      <c r="B7" s="151"/>
      <c r="C7" s="150"/>
    </row>
    <row r="8" spans="1:3" ht="12.75">
      <c r="A8" s="150"/>
      <c r="B8" s="151"/>
      <c r="C8" s="151"/>
    </row>
    <row r="9" ht="12.75"/>
    <row r="10" ht="12.75"/>
    <row r="11" ht="12.75">
      <c r="E11" s="154"/>
    </row>
    <row r="12" spans="1:2" ht="12.75">
      <c r="A12" s="82"/>
      <c r="B12" s="82"/>
    </row>
    <row r="13" ht="12.75"/>
    <row r="14" spans="1:17" ht="12.75">
      <c r="A14" s="128" t="s">
        <v>27</v>
      </c>
      <c r="I14" s="128" t="s">
        <v>28</v>
      </c>
      <c r="Q14" s="128" t="s">
        <v>32</v>
      </c>
    </row>
    <row r="15" spans="1:18" ht="12.75">
      <c r="A15" s="155" t="s">
        <v>0</v>
      </c>
      <c r="B15" s="156" t="s">
        <v>1</v>
      </c>
      <c r="E15" s="136"/>
      <c r="F15" s="136"/>
      <c r="G15" s="136"/>
      <c r="H15" s="136"/>
      <c r="I15" s="155" t="s">
        <v>0</v>
      </c>
      <c r="J15" s="156" t="s">
        <v>1</v>
      </c>
      <c r="M15" s="136"/>
      <c r="N15" s="136"/>
      <c r="O15" s="136"/>
      <c r="Q15" s="128" t="str">
        <f>+A15</f>
        <v>125 Hz</v>
      </c>
      <c r="R15" s="128" t="str">
        <f aca="true" t="shared" si="0" ref="R15:W16">+B15</f>
        <v>octave</v>
      </c>
    </row>
    <row r="16" spans="1:23" ht="12.75">
      <c r="A16" s="142"/>
      <c r="B16" s="140" t="s">
        <v>2</v>
      </c>
      <c r="C16" s="140" t="s">
        <v>3</v>
      </c>
      <c r="D16" s="139" t="s">
        <v>4</v>
      </c>
      <c r="E16" s="139" t="s">
        <v>5</v>
      </c>
      <c r="F16" s="140" t="s">
        <v>6</v>
      </c>
      <c r="G16" s="139" t="s">
        <v>7</v>
      </c>
      <c r="H16" s="141"/>
      <c r="I16" s="142"/>
      <c r="J16" s="140" t="s">
        <v>2</v>
      </c>
      <c r="K16" s="140" t="s">
        <v>3</v>
      </c>
      <c r="L16" s="139" t="s">
        <v>4</v>
      </c>
      <c r="M16" s="139" t="s">
        <v>5</v>
      </c>
      <c r="N16" s="140" t="s">
        <v>6</v>
      </c>
      <c r="O16" s="139" t="s">
        <v>7</v>
      </c>
      <c r="P16" s="157"/>
      <c r="Q16" s="128">
        <f aca="true" t="shared" si="1" ref="Q16:Q25">+A16</f>
        <v>0</v>
      </c>
      <c r="R16" s="128" t="str">
        <f t="shared" si="0"/>
        <v>S1R1</v>
      </c>
      <c r="S16" s="128" t="str">
        <f t="shared" si="0"/>
        <v>S1R2</v>
      </c>
      <c r="T16" s="128" t="str">
        <f t="shared" si="0"/>
        <v>S1R3</v>
      </c>
      <c r="U16" s="128" t="str">
        <f t="shared" si="0"/>
        <v>S2R1</v>
      </c>
      <c r="V16" s="128" t="str">
        <f t="shared" si="0"/>
        <v>S2R2</v>
      </c>
      <c r="W16" s="128" t="str">
        <f t="shared" si="0"/>
        <v>S2R3</v>
      </c>
    </row>
    <row r="17" spans="1:23" ht="12.75">
      <c r="A17" s="130" t="s">
        <v>8</v>
      </c>
      <c r="B17" s="145">
        <v>0.8</v>
      </c>
      <c r="C17" s="143">
        <v>0.8</v>
      </c>
      <c r="D17" s="143">
        <v>0.8</v>
      </c>
      <c r="E17" s="125">
        <v>0.8</v>
      </c>
      <c r="F17" s="143">
        <v>0.81</v>
      </c>
      <c r="G17" s="144">
        <v>0.81</v>
      </c>
      <c r="H17" s="125"/>
      <c r="I17" s="130" t="s">
        <v>8</v>
      </c>
      <c r="J17" s="145">
        <v>0.77</v>
      </c>
      <c r="K17" s="143">
        <v>0.78</v>
      </c>
      <c r="L17" s="143">
        <v>0.79</v>
      </c>
      <c r="M17" s="125">
        <v>0.77</v>
      </c>
      <c r="N17" s="143">
        <v>0.78</v>
      </c>
      <c r="O17" s="144">
        <v>0.79</v>
      </c>
      <c r="P17" s="158"/>
      <c r="Q17" s="128" t="str">
        <f t="shared" si="1"/>
        <v>T30/s</v>
      </c>
      <c r="R17" s="127">
        <f>+B17-J17</f>
        <v>0.030000000000000027</v>
      </c>
      <c r="S17" s="127">
        <f aca="true" t="shared" si="2" ref="S17:W25">+C17-K17</f>
        <v>0.020000000000000018</v>
      </c>
      <c r="T17" s="127">
        <f t="shared" si="2"/>
        <v>0.010000000000000009</v>
      </c>
      <c r="U17" s="127">
        <f t="shared" si="2"/>
        <v>0.030000000000000027</v>
      </c>
      <c r="V17" s="127">
        <f t="shared" si="2"/>
        <v>0.030000000000000027</v>
      </c>
      <c r="W17" s="127">
        <f t="shared" si="2"/>
        <v>0.020000000000000018</v>
      </c>
    </row>
    <row r="18" spans="1:23" ht="12.75">
      <c r="A18" s="130" t="s">
        <v>9</v>
      </c>
      <c r="B18" s="131">
        <v>0.79</v>
      </c>
      <c r="C18" s="125">
        <v>0.78</v>
      </c>
      <c r="D18" s="125">
        <v>0.81</v>
      </c>
      <c r="E18" s="125">
        <v>0.78</v>
      </c>
      <c r="F18" s="125">
        <v>0.8</v>
      </c>
      <c r="G18" s="129">
        <v>0.75</v>
      </c>
      <c r="H18" s="125"/>
      <c r="I18" s="130" t="s">
        <v>9</v>
      </c>
      <c r="J18" s="131">
        <v>0.78</v>
      </c>
      <c r="K18" s="125">
        <v>0.74</v>
      </c>
      <c r="L18" s="125">
        <v>0.77</v>
      </c>
      <c r="M18" s="125">
        <v>0.74</v>
      </c>
      <c r="N18" s="125">
        <v>0.79</v>
      </c>
      <c r="O18" s="129">
        <v>0.74</v>
      </c>
      <c r="P18" s="158"/>
      <c r="Q18" s="128" t="str">
        <f t="shared" si="1"/>
        <v>EDT/s</v>
      </c>
      <c r="R18" s="127">
        <f aca="true" t="shared" si="3" ref="R18:R25">+B18-J18</f>
        <v>0.010000000000000009</v>
      </c>
      <c r="S18" s="127">
        <f t="shared" si="2"/>
        <v>0.040000000000000036</v>
      </c>
      <c r="T18" s="127">
        <f t="shared" si="2"/>
        <v>0.040000000000000036</v>
      </c>
      <c r="U18" s="127">
        <f t="shared" si="2"/>
        <v>0.040000000000000036</v>
      </c>
      <c r="V18" s="127">
        <f t="shared" si="2"/>
        <v>0.010000000000000009</v>
      </c>
      <c r="W18" s="127">
        <f t="shared" si="2"/>
        <v>0.010000000000000009</v>
      </c>
    </row>
    <row r="19" spans="1:23" ht="12.75">
      <c r="A19" s="130" t="s">
        <v>10</v>
      </c>
      <c r="B19" s="131">
        <v>62.9</v>
      </c>
      <c r="C19" s="125">
        <v>65.8</v>
      </c>
      <c r="D19" s="125">
        <v>59.9</v>
      </c>
      <c r="E19" s="125">
        <v>66.1</v>
      </c>
      <c r="F19" s="125">
        <v>61.3</v>
      </c>
      <c r="G19" s="129">
        <v>68.4</v>
      </c>
      <c r="H19" s="125"/>
      <c r="I19" s="130" t="s">
        <v>10</v>
      </c>
      <c r="J19" s="131">
        <v>62.2</v>
      </c>
      <c r="K19" s="125">
        <v>65.9</v>
      </c>
      <c r="L19" s="125">
        <v>60.7</v>
      </c>
      <c r="M19" s="125">
        <v>69.1</v>
      </c>
      <c r="N19" s="125">
        <v>61.2</v>
      </c>
      <c r="O19" s="129">
        <v>69.9</v>
      </c>
      <c r="P19" s="158"/>
      <c r="Q19" s="128" t="str">
        <f t="shared" si="1"/>
        <v>D/%</v>
      </c>
      <c r="R19" s="127">
        <f t="shared" si="3"/>
        <v>0.6999999999999957</v>
      </c>
      <c r="S19" s="127">
        <f t="shared" si="2"/>
        <v>-0.10000000000000853</v>
      </c>
      <c r="T19" s="127">
        <f t="shared" si="2"/>
        <v>-0.8000000000000043</v>
      </c>
      <c r="U19" s="127">
        <f t="shared" si="2"/>
        <v>-3</v>
      </c>
      <c r="V19" s="127">
        <f t="shared" si="2"/>
        <v>0.09999999999999432</v>
      </c>
      <c r="W19" s="127">
        <f t="shared" si="2"/>
        <v>-1.5</v>
      </c>
    </row>
    <row r="20" spans="1:23" ht="12.75">
      <c r="A20" s="130" t="s">
        <v>11</v>
      </c>
      <c r="B20" s="131">
        <v>5.4</v>
      </c>
      <c r="C20" s="125">
        <v>6.1</v>
      </c>
      <c r="D20" s="125">
        <v>5</v>
      </c>
      <c r="E20" s="125">
        <v>6.1</v>
      </c>
      <c r="F20" s="125">
        <v>5.3</v>
      </c>
      <c r="G20" s="129">
        <v>6.5</v>
      </c>
      <c r="H20" s="125"/>
      <c r="I20" s="130" t="s">
        <v>11</v>
      </c>
      <c r="J20" s="131">
        <v>5.5</v>
      </c>
      <c r="K20" s="125">
        <v>6.1</v>
      </c>
      <c r="L20" s="125">
        <v>5.4</v>
      </c>
      <c r="M20" s="125">
        <v>6.6</v>
      </c>
      <c r="N20" s="125">
        <v>5.2</v>
      </c>
      <c r="O20" s="129">
        <v>6.6</v>
      </c>
      <c r="P20" s="158"/>
      <c r="Q20" s="128" t="str">
        <f t="shared" si="1"/>
        <v>C/dB</v>
      </c>
      <c r="R20" s="127">
        <f t="shared" si="3"/>
        <v>-0.09999999999999964</v>
      </c>
      <c r="S20" s="127">
        <f t="shared" si="2"/>
        <v>0</v>
      </c>
      <c r="T20" s="127">
        <f t="shared" si="2"/>
        <v>-0.40000000000000036</v>
      </c>
      <c r="U20" s="127">
        <f t="shared" si="2"/>
        <v>-0.5</v>
      </c>
      <c r="V20" s="127">
        <f t="shared" si="2"/>
        <v>0.09999999999999964</v>
      </c>
      <c r="W20" s="127">
        <f t="shared" si="2"/>
        <v>-0.09999999999999964</v>
      </c>
    </row>
    <row r="21" spans="1:23" ht="12.75">
      <c r="A21" s="130" t="s">
        <v>12</v>
      </c>
      <c r="B21" s="131">
        <v>51.2</v>
      </c>
      <c r="C21" s="125">
        <v>46.8</v>
      </c>
      <c r="D21" s="125">
        <v>54.7</v>
      </c>
      <c r="E21" s="125">
        <v>46</v>
      </c>
      <c r="F21" s="125">
        <v>52.3</v>
      </c>
      <c r="G21" s="129">
        <v>45.1</v>
      </c>
      <c r="H21" s="125"/>
      <c r="I21" s="130" t="s">
        <v>12</v>
      </c>
      <c r="J21" s="131">
        <v>51.4</v>
      </c>
      <c r="K21" s="125">
        <v>46.8</v>
      </c>
      <c r="L21" s="125">
        <v>53.2</v>
      </c>
      <c r="M21" s="125">
        <v>42.9</v>
      </c>
      <c r="N21" s="125">
        <v>52.8</v>
      </c>
      <c r="O21" s="129">
        <v>44</v>
      </c>
      <c r="P21" s="158"/>
      <c r="Q21" s="128" t="str">
        <f t="shared" si="1"/>
        <v>TS/ms</v>
      </c>
      <c r="R21" s="127">
        <f t="shared" si="3"/>
        <v>-0.19999999999999574</v>
      </c>
      <c r="S21" s="127">
        <f t="shared" si="2"/>
        <v>0</v>
      </c>
      <c r="T21" s="127">
        <f t="shared" si="2"/>
        <v>1.5</v>
      </c>
      <c r="U21" s="127">
        <f t="shared" si="2"/>
        <v>3.1000000000000014</v>
      </c>
      <c r="V21" s="127">
        <f t="shared" si="2"/>
        <v>-0.5</v>
      </c>
      <c r="W21" s="127">
        <f t="shared" si="2"/>
        <v>1.1000000000000014</v>
      </c>
    </row>
    <row r="22" spans="1:23" ht="12.75">
      <c r="A22" s="130" t="s">
        <v>13</v>
      </c>
      <c r="B22" s="131">
        <v>17.7</v>
      </c>
      <c r="C22" s="125">
        <v>18.8</v>
      </c>
      <c r="D22" s="125">
        <v>17.5</v>
      </c>
      <c r="E22" s="125">
        <v>18.9</v>
      </c>
      <c r="F22" s="125">
        <v>17.7</v>
      </c>
      <c r="G22" s="129">
        <v>19.2</v>
      </c>
      <c r="H22" s="125"/>
      <c r="I22" s="130" t="s">
        <v>13</v>
      </c>
      <c r="J22" s="131">
        <v>17.9</v>
      </c>
      <c r="K22" s="125">
        <v>19</v>
      </c>
      <c r="L22" s="125">
        <v>17.7</v>
      </c>
      <c r="M22" s="125">
        <v>19.1</v>
      </c>
      <c r="N22" s="125">
        <v>17.9</v>
      </c>
      <c r="O22" s="129">
        <v>19.2</v>
      </c>
      <c r="P22" s="158"/>
      <c r="Q22" s="128" t="str">
        <f t="shared" si="1"/>
        <v>G/dB</v>
      </c>
      <c r="R22" s="127">
        <f t="shared" si="3"/>
        <v>-0.1999999999999993</v>
      </c>
      <c r="S22" s="127">
        <f t="shared" si="2"/>
        <v>-0.1999999999999993</v>
      </c>
      <c r="T22" s="127">
        <f t="shared" si="2"/>
        <v>-0.1999999999999993</v>
      </c>
      <c r="U22" s="127">
        <f t="shared" si="2"/>
        <v>-0.20000000000000284</v>
      </c>
      <c r="V22" s="127">
        <f t="shared" si="2"/>
        <v>-0.1999999999999993</v>
      </c>
      <c r="W22" s="127">
        <f t="shared" si="2"/>
        <v>0</v>
      </c>
    </row>
    <row r="23" spans="1:23" ht="12.75">
      <c r="A23" s="130" t="s">
        <v>14</v>
      </c>
      <c r="B23" s="131">
        <v>26.9</v>
      </c>
      <c r="C23" s="125">
        <v>19.9</v>
      </c>
      <c r="D23" s="125">
        <v>24.1</v>
      </c>
      <c r="E23" s="125">
        <v>21.1</v>
      </c>
      <c r="F23" s="125">
        <v>26.4</v>
      </c>
      <c r="G23" s="129">
        <v>23.8</v>
      </c>
      <c r="H23" s="125"/>
      <c r="I23" s="130" t="s">
        <v>14</v>
      </c>
      <c r="J23" s="131">
        <v>24.2</v>
      </c>
      <c r="K23" s="125">
        <v>20.6</v>
      </c>
      <c r="L23" s="125">
        <v>27.1</v>
      </c>
      <c r="M23" s="125">
        <v>22.2</v>
      </c>
      <c r="N23" s="125">
        <v>26.7</v>
      </c>
      <c r="O23" s="129">
        <v>23.8</v>
      </c>
      <c r="Q23" s="128" t="str">
        <f t="shared" si="1"/>
        <v>LF/%</v>
      </c>
      <c r="R23" s="127">
        <f t="shared" si="3"/>
        <v>2.6999999999999993</v>
      </c>
      <c r="S23" s="127">
        <f t="shared" si="2"/>
        <v>-0.7000000000000028</v>
      </c>
      <c r="T23" s="127">
        <f t="shared" si="2"/>
        <v>-3</v>
      </c>
      <c r="U23" s="127">
        <f t="shared" si="2"/>
        <v>-1.0999999999999979</v>
      </c>
      <c r="V23" s="127">
        <f t="shared" si="2"/>
        <v>-0.3000000000000007</v>
      </c>
      <c r="W23" s="127">
        <f t="shared" si="2"/>
        <v>0</v>
      </c>
    </row>
    <row r="24" spans="1:23" ht="12.75">
      <c r="A24" s="130" t="s">
        <v>15</v>
      </c>
      <c r="B24" s="131">
        <v>37.7</v>
      </c>
      <c r="C24" s="125">
        <v>29.8</v>
      </c>
      <c r="D24" s="125">
        <v>37.3</v>
      </c>
      <c r="E24" s="125">
        <v>31</v>
      </c>
      <c r="F24" s="125">
        <v>37.8</v>
      </c>
      <c r="G24" s="129">
        <v>35.1</v>
      </c>
      <c r="H24" s="125"/>
      <c r="I24" s="130" t="s">
        <v>15</v>
      </c>
      <c r="J24" s="131">
        <v>35.8</v>
      </c>
      <c r="K24" s="125">
        <v>30.8</v>
      </c>
      <c r="L24" s="125">
        <v>40.7</v>
      </c>
      <c r="M24" s="125">
        <v>32.9</v>
      </c>
      <c r="N24" s="125">
        <v>39.2</v>
      </c>
      <c r="O24" s="129">
        <v>35.1</v>
      </c>
      <c r="Q24" s="128" t="str">
        <f t="shared" si="1"/>
        <v>LFC/%</v>
      </c>
      <c r="R24" s="127">
        <f t="shared" si="3"/>
        <v>1.9000000000000057</v>
      </c>
      <c r="S24" s="127">
        <f t="shared" si="2"/>
        <v>-1</v>
      </c>
      <c r="T24" s="127">
        <f t="shared" si="2"/>
        <v>-3.4000000000000057</v>
      </c>
      <c r="U24" s="127">
        <f t="shared" si="2"/>
        <v>-1.8999999999999986</v>
      </c>
      <c r="V24" s="127">
        <f t="shared" si="2"/>
        <v>-1.4000000000000057</v>
      </c>
      <c r="W24" s="127">
        <f t="shared" si="2"/>
        <v>0</v>
      </c>
    </row>
    <row r="25" spans="1:23" ht="12.75">
      <c r="A25" s="134" t="s">
        <v>16</v>
      </c>
      <c r="B25" s="135">
        <v>0.93</v>
      </c>
      <c r="C25" s="132">
        <v>0.94</v>
      </c>
      <c r="D25" s="132">
        <v>0.93</v>
      </c>
      <c r="E25" s="132">
        <v>0.91</v>
      </c>
      <c r="F25" s="132">
        <v>0.9</v>
      </c>
      <c r="G25" s="133">
        <v>0.85</v>
      </c>
      <c r="H25" s="125"/>
      <c r="I25" s="134" t="s">
        <v>16</v>
      </c>
      <c r="J25" s="135">
        <v>0.9</v>
      </c>
      <c r="K25" s="132">
        <v>0.91</v>
      </c>
      <c r="L25" s="132">
        <v>0.95</v>
      </c>
      <c r="M25" s="132">
        <v>0.91</v>
      </c>
      <c r="N25" s="132">
        <v>0.89</v>
      </c>
      <c r="O25" s="133">
        <v>0.84</v>
      </c>
      <c r="Q25" s="128" t="str">
        <f t="shared" si="1"/>
        <v>IACC</v>
      </c>
      <c r="R25" s="127">
        <f t="shared" si="3"/>
        <v>0.030000000000000027</v>
      </c>
      <c r="S25" s="127">
        <f t="shared" si="2"/>
        <v>0.029999999999999916</v>
      </c>
      <c r="T25" s="127">
        <f t="shared" si="2"/>
        <v>-0.019999999999999907</v>
      </c>
      <c r="U25" s="127">
        <f t="shared" si="2"/>
        <v>0</v>
      </c>
      <c r="V25" s="127">
        <f t="shared" si="2"/>
        <v>0.010000000000000009</v>
      </c>
      <c r="W25" s="127">
        <f t="shared" si="2"/>
        <v>0.010000000000000009</v>
      </c>
    </row>
    <row r="26" spans="5:15" ht="12.75">
      <c r="E26" s="136"/>
      <c r="F26" s="136"/>
      <c r="G26" s="136"/>
      <c r="H26" s="136"/>
      <c r="M26" s="136"/>
      <c r="N26" s="136"/>
      <c r="O26" s="136"/>
    </row>
    <row r="27" spans="1:18" ht="12.75">
      <c r="A27" s="155" t="s">
        <v>17</v>
      </c>
      <c r="B27" s="156" t="s">
        <v>1</v>
      </c>
      <c r="E27" s="136"/>
      <c r="F27" s="136"/>
      <c r="G27" s="136"/>
      <c r="H27" s="136"/>
      <c r="I27" s="155" t="s">
        <v>17</v>
      </c>
      <c r="J27" s="156" t="s">
        <v>1</v>
      </c>
      <c r="M27" s="136"/>
      <c r="N27" s="136"/>
      <c r="O27" s="136"/>
      <c r="Q27" s="128" t="str">
        <f>+A27</f>
        <v>250 Hz</v>
      </c>
      <c r="R27" s="128" t="str">
        <f>+B27</f>
        <v>octave</v>
      </c>
    </row>
    <row r="28" spans="1:23" ht="12.75">
      <c r="A28" s="142"/>
      <c r="B28" s="140" t="s">
        <v>2</v>
      </c>
      <c r="C28" s="140" t="s">
        <v>3</v>
      </c>
      <c r="D28" s="139" t="s">
        <v>4</v>
      </c>
      <c r="E28" s="139" t="s">
        <v>5</v>
      </c>
      <c r="F28" s="140" t="s">
        <v>6</v>
      </c>
      <c r="G28" s="139" t="s">
        <v>7</v>
      </c>
      <c r="H28" s="141"/>
      <c r="I28" s="142"/>
      <c r="J28" s="140" t="s">
        <v>2</v>
      </c>
      <c r="K28" s="140" t="s">
        <v>3</v>
      </c>
      <c r="L28" s="139" t="s">
        <v>4</v>
      </c>
      <c r="M28" s="139" t="s">
        <v>5</v>
      </c>
      <c r="N28" s="140" t="s">
        <v>6</v>
      </c>
      <c r="O28" s="139" t="s">
        <v>7</v>
      </c>
      <c r="Q28" s="128">
        <f aca="true" t="shared" si="4" ref="Q28:Q37">+A28</f>
        <v>0</v>
      </c>
      <c r="R28" s="128" t="str">
        <f aca="true" t="shared" si="5" ref="R28:W28">+B28</f>
        <v>S1R1</v>
      </c>
      <c r="S28" s="128" t="str">
        <f t="shared" si="5"/>
        <v>S1R2</v>
      </c>
      <c r="T28" s="128" t="str">
        <f t="shared" si="5"/>
        <v>S1R3</v>
      </c>
      <c r="U28" s="128" t="str">
        <f t="shared" si="5"/>
        <v>S2R1</v>
      </c>
      <c r="V28" s="128" t="str">
        <f t="shared" si="5"/>
        <v>S2R2</v>
      </c>
      <c r="W28" s="128" t="str">
        <f t="shared" si="5"/>
        <v>S2R3</v>
      </c>
    </row>
    <row r="29" spans="1:23" ht="12.75">
      <c r="A29" s="130" t="s">
        <v>8</v>
      </c>
      <c r="B29" s="145">
        <v>1.04</v>
      </c>
      <c r="C29" s="143">
        <v>1.04</v>
      </c>
      <c r="D29" s="143">
        <v>1.04</v>
      </c>
      <c r="E29" s="125">
        <v>1.03</v>
      </c>
      <c r="F29" s="143">
        <v>1.03</v>
      </c>
      <c r="G29" s="144">
        <v>1.03</v>
      </c>
      <c r="H29" s="125"/>
      <c r="I29" s="130" t="s">
        <v>8</v>
      </c>
      <c r="J29" s="145">
        <v>0.84</v>
      </c>
      <c r="K29" s="143">
        <v>0.86</v>
      </c>
      <c r="L29" s="143">
        <v>0.86</v>
      </c>
      <c r="M29" s="125">
        <v>0.83</v>
      </c>
      <c r="N29" s="143">
        <v>0.85</v>
      </c>
      <c r="O29" s="144">
        <v>0.86</v>
      </c>
      <c r="Q29" s="128" t="str">
        <f t="shared" si="4"/>
        <v>T30/s</v>
      </c>
      <c r="R29" s="127">
        <f>+B29-J29</f>
        <v>0.20000000000000007</v>
      </c>
      <c r="S29" s="127">
        <f aca="true" t="shared" si="6" ref="S29:S37">+C29-K29</f>
        <v>0.18000000000000005</v>
      </c>
      <c r="T29" s="127">
        <f aca="true" t="shared" si="7" ref="T29:T37">+D29-L29</f>
        <v>0.18000000000000005</v>
      </c>
      <c r="U29" s="127">
        <f aca="true" t="shared" si="8" ref="U29:U37">+E29-M29</f>
        <v>0.20000000000000007</v>
      </c>
      <c r="V29" s="127">
        <f aca="true" t="shared" si="9" ref="V29:V37">+F29-N29</f>
        <v>0.18000000000000005</v>
      </c>
      <c r="W29" s="127">
        <f aca="true" t="shared" si="10" ref="W29:W37">+G29-O29</f>
        <v>0.17000000000000004</v>
      </c>
    </row>
    <row r="30" spans="1:23" ht="12.75">
      <c r="A30" s="130" t="s">
        <v>9</v>
      </c>
      <c r="B30" s="131">
        <v>1.04</v>
      </c>
      <c r="C30" s="125">
        <v>1.03</v>
      </c>
      <c r="D30" s="125">
        <v>1.05</v>
      </c>
      <c r="E30" s="125">
        <v>1.03</v>
      </c>
      <c r="F30" s="125">
        <v>1.02</v>
      </c>
      <c r="G30" s="129">
        <v>1.03</v>
      </c>
      <c r="H30" s="125"/>
      <c r="I30" s="130" t="s">
        <v>9</v>
      </c>
      <c r="J30" s="131">
        <v>0.89</v>
      </c>
      <c r="K30" s="125">
        <v>0.82</v>
      </c>
      <c r="L30" s="125">
        <v>0.86</v>
      </c>
      <c r="M30" s="125">
        <v>0.84</v>
      </c>
      <c r="N30" s="125">
        <v>0.88</v>
      </c>
      <c r="O30" s="129">
        <v>0.84</v>
      </c>
      <c r="Q30" s="128" t="str">
        <f t="shared" si="4"/>
        <v>EDT/s</v>
      </c>
      <c r="R30" s="127">
        <f aca="true" t="shared" si="11" ref="R30:R37">+B30-J30</f>
        <v>0.15000000000000002</v>
      </c>
      <c r="S30" s="127">
        <f t="shared" si="6"/>
        <v>0.21000000000000008</v>
      </c>
      <c r="T30" s="127">
        <f t="shared" si="7"/>
        <v>0.19000000000000006</v>
      </c>
      <c r="U30" s="127">
        <f t="shared" si="8"/>
        <v>0.19000000000000006</v>
      </c>
      <c r="V30" s="127">
        <f t="shared" si="9"/>
        <v>0.14</v>
      </c>
      <c r="W30" s="127">
        <f t="shared" si="10"/>
        <v>0.19000000000000006</v>
      </c>
    </row>
    <row r="31" spans="1:23" ht="12.75">
      <c r="A31" s="130" t="s">
        <v>10</v>
      </c>
      <c r="B31" s="131">
        <v>49.5</v>
      </c>
      <c r="C31" s="125">
        <v>57.2</v>
      </c>
      <c r="D31" s="125">
        <v>49.9</v>
      </c>
      <c r="E31" s="125">
        <v>55.4</v>
      </c>
      <c r="F31" s="125">
        <v>51.7</v>
      </c>
      <c r="G31" s="129">
        <v>57.1</v>
      </c>
      <c r="H31" s="125"/>
      <c r="I31" s="130" t="s">
        <v>10</v>
      </c>
      <c r="J31" s="131">
        <v>57.3</v>
      </c>
      <c r="K31" s="125">
        <v>63.2</v>
      </c>
      <c r="L31" s="125">
        <v>56.6</v>
      </c>
      <c r="M31" s="125">
        <v>62.6</v>
      </c>
      <c r="N31" s="125">
        <v>56.6</v>
      </c>
      <c r="O31" s="129">
        <v>64.7</v>
      </c>
      <c r="Q31" s="128" t="str">
        <f t="shared" si="4"/>
        <v>D/%</v>
      </c>
      <c r="R31" s="127">
        <f t="shared" si="11"/>
        <v>-7.799999999999997</v>
      </c>
      <c r="S31" s="127">
        <f t="shared" si="6"/>
        <v>-6</v>
      </c>
      <c r="T31" s="127">
        <f t="shared" si="7"/>
        <v>-6.700000000000003</v>
      </c>
      <c r="U31" s="127">
        <f t="shared" si="8"/>
        <v>-7.200000000000003</v>
      </c>
      <c r="V31" s="127">
        <f t="shared" si="9"/>
        <v>-4.899999999999999</v>
      </c>
      <c r="W31" s="127">
        <f t="shared" si="10"/>
        <v>-7.600000000000001</v>
      </c>
    </row>
    <row r="32" spans="1:23" ht="12.75">
      <c r="A32" s="130" t="s">
        <v>11</v>
      </c>
      <c r="B32" s="131">
        <v>3.1</v>
      </c>
      <c r="C32" s="125">
        <v>3.8</v>
      </c>
      <c r="D32" s="125">
        <v>3</v>
      </c>
      <c r="E32" s="125">
        <v>3.8</v>
      </c>
      <c r="F32" s="125">
        <v>2.9</v>
      </c>
      <c r="G32" s="129">
        <v>3.8</v>
      </c>
      <c r="H32" s="125"/>
      <c r="I32" s="130" t="s">
        <v>11</v>
      </c>
      <c r="J32" s="131">
        <v>4.4</v>
      </c>
      <c r="K32" s="125">
        <v>5.5</v>
      </c>
      <c r="L32" s="125">
        <v>4.3</v>
      </c>
      <c r="M32" s="125">
        <v>5.4</v>
      </c>
      <c r="N32" s="125">
        <v>4.2</v>
      </c>
      <c r="O32" s="129">
        <v>5.5</v>
      </c>
      <c r="Q32" s="128" t="str">
        <f t="shared" si="4"/>
        <v>C/dB</v>
      </c>
      <c r="R32" s="127">
        <f t="shared" si="11"/>
        <v>-1.3000000000000003</v>
      </c>
      <c r="S32" s="127">
        <f t="shared" si="6"/>
        <v>-1.7000000000000002</v>
      </c>
      <c r="T32" s="127">
        <f t="shared" si="7"/>
        <v>-1.2999999999999998</v>
      </c>
      <c r="U32" s="127">
        <f t="shared" si="8"/>
        <v>-1.6000000000000005</v>
      </c>
      <c r="V32" s="127">
        <f t="shared" si="9"/>
        <v>-1.3000000000000003</v>
      </c>
      <c r="W32" s="127">
        <f t="shared" si="10"/>
        <v>-1.7000000000000002</v>
      </c>
    </row>
    <row r="33" spans="1:23" ht="12.75">
      <c r="A33" s="130" t="s">
        <v>12</v>
      </c>
      <c r="B33" s="131">
        <v>72</v>
      </c>
      <c r="C33" s="125">
        <v>64.8</v>
      </c>
      <c r="D33" s="125">
        <v>74.1</v>
      </c>
      <c r="E33" s="125">
        <v>63.7</v>
      </c>
      <c r="F33" s="125">
        <v>71.2</v>
      </c>
      <c r="G33" s="129">
        <v>63.6</v>
      </c>
      <c r="H33" s="125"/>
      <c r="I33" s="130" t="s">
        <v>12</v>
      </c>
      <c r="J33" s="131">
        <v>58.7</v>
      </c>
      <c r="K33" s="125">
        <v>51.5</v>
      </c>
      <c r="L33" s="125">
        <v>60.2</v>
      </c>
      <c r="M33" s="125">
        <v>50.9</v>
      </c>
      <c r="N33" s="125">
        <v>59.9</v>
      </c>
      <c r="O33" s="129">
        <v>50.5</v>
      </c>
      <c r="Q33" s="128" t="str">
        <f t="shared" si="4"/>
        <v>TS/ms</v>
      </c>
      <c r="R33" s="127">
        <f t="shared" si="11"/>
        <v>13.299999999999997</v>
      </c>
      <c r="S33" s="127">
        <f t="shared" si="6"/>
        <v>13.299999999999997</v>
      </c>
      <c r="T33" s="127">
        <f t="shared" si="7"/>
        <v>13.899999999999991</v>
      </c>
      <c r="U33" s="127">
        <f t="shared" si="8"/>
        <v>12.800000000000004</v>
      </c>
      <c r="V33" s="127">
        <f t="shared" si="9"/>
        <v>11.300000000000004</v>
      </c>
      <c r="W33" s="127">
        <f t="shared" si="10"/>
        <v>13.100000000000001</v>
      </c>
    </row>
    <row r="34" spans="1:23" ht="12.75">
      <c r="A34" s="130" t="s">
        <v>13</v>
      </c>
      <c r="B34" s="131">
        <v>18.8</v>
      </c>
      <c r="C34" s="125">
        <v>20</v>
      </c>
      <c r="D34" s="125">
        <v>18.9</v>
      </c>
      <c r="E34" s="125">
        <v>19.9</v>
      </c>
      <c r="F34" s="125">
        <v>19.1</v>
      </c>
      <c r="G34" s="129">
        <v>20.1</v>
      </c>
      <c r="H34" s="125"/>
      <c r="I34" s="130" t="s">
        <v>13</v>
      </c>
      <c r="J34" s="131">
        <v>18</v>
      </c>
      <c r="K34" s="125">
        <v>19.5</v>
      </c>
      <c r="L34" s="125">
        <v>18.1</v>
      </c>
      <c r="M34" s="125">
        <v>19.3</v>
      </c>
      <c r="N34" s="125">
        <v>18.3</v>
      </c>
      <c r="O34" s="129">
        <v>19.6</v>
      </c>
      <c r="Q34" s="128" t="str">
        <f t="shared" si="4"/>
        <v>G/dB</v>
      </c>
      <c r="R34" s="127">
        <f t="shared" si="11"/>
        <v>0.8000000000000007</v>
      </c>
      <c r="S34" s="127">
        <f t="shared" si="6"/>
        <v>0.5</v>
      </c>
      <c r="T34" s="127">
        <f t="shared" si="7"/>
        <v>0.7999999999999972</v>
      </c>
      <c r="U34" s="127">
        <f t="shared" si="8"/>
        <v>0.5999999999999979</v>
      </c>
      <c r="V34" s="127">
        <f t="shared" si="9"/>
        <v>0.8000000000000007</v>
      </c>
      <c r="W34" s="127">
        <f t="shared" si="10"/>
        <v>0.5</v>
      </c>
    </row>
    <row r="35" spans="1:23" ht="12.75">
      <c r="A35" s="130" t="s">
        <v>14</v>
      </c>
      <c r="B35" s="131">
        <v>26.8</v>
      </c>
      <c r="C35" s="125">
        <v>21.8</v>
      </c>
      <c r="D35" s="125">
        <v>25.5</v>
      </c>
      <c r="E35" s="125">
        <v>22</v>
      </c>
      <c r="F35" s="125">
        <v>27.4</v>
      </c>
      <c r="G35" s="129">
        <v>23.8</v>
      </c>
      <c r="H35" s="125"/>
      <c r="I35" s="130" t="s">
        <v>14</v>
      </c>
      <c r="J35" s="131">
        <v>25.9</v>
      </c>
      <c r="K35" s="125">
        <v>21.5</v>
      </c>
      <c r="L35" s="125">
        <v>26.9</v>
      </c>
      <c r="M35" s="125">
        <v>22.3</v>
      </c>
      <c r="N35" s="125">
        <v>24.2</v>
      </c>
      <c r="O35" s="129">
        <v>23.7</v>
      </c>
      <c r="Q35" s="128" t="str">
        <f t="shared" si="4"/>
        <v>LF/%</v>
      </c>
      <c r="R35" s="127">
        <f t="shared" si="11"/>
        <v>0.9000000000000021</v>
      </c>
      <c r="S35" s="127">
        <f t="shared" si="6"/>
        <v>0.3000000000000007</v>
      </c>
      <c r="T35" s="127">
        <f t="shared" si="7"/>
        <v>-1.3999999999999986</v>
      </c>
      <c r="U35" s="127">
        <f t="shared" si="8"/>
        <v>-0.3000000000000007</v>
      </c>
      <c r="V35" s="127">
        <f t="shared" si="9"/>
        <v>3.1999999999999993</v>
      </c>
      <c r="W35" s="127">
        <f t="shared" si="10"/>
        <v>0.10000000000000142</v>
      </c>
    </row>
    <row r="36" spans="1:23" ht="12.75">
      <c r="A36" s="130" t="s">
        <v>15</v>
      </c>
      <c r="B36" s="131">
        <v>38.5</v>
      </c>
      <c r="C36" s="125">
        <v>32.3</v>
      </c>
      <c r="D36" s="125">
        <v>39.2</v>
      </c>
      <c r="E36" s="125">
        <v>32.5</v>
      </c>
      <c r="F36" s="125">
        <v>40.1</v>
      </c>
      <c r="G36" s="129">
        <v>35.6</v>
      </c>
      <c r="H36" s="125"/>
      <c r="I36" s="130" t="s">
        <v>15</v>
      </c>
      <c r="J36" s="131">
        <v>37.1</v>
      </c>
      <c r="K36" s="125">
        <v>32.3</v>
      </c>
      <c r="L36" s="125">
        <v>40.7</v>
      </c>
      <c r="M36" s="125">
        <v>32.7</v>
      </c>
      <c r="N36" s="125">
        <v>36.6</v>
      </c>
      <c r="O36" s="129">
        <v>35.3</v>
      </c>
      <c r="Q36" s="128" t="str">
        <f t="shared" si="4"/>
        <v>LFC/%</v>
      </c>
      <c r="R36" s="127">
        <f t="shared" si="11"/>
        <v>1.3999999999999986</v>
      </c>
      <c r="S36" s="127">
        <f t="shared" si="6"/>
        <v>0</v>
      </c>
      <c r="T36" s="127">
        <f t="shared" si="7"/>
        <v>-1.5</v>
      </c>
      <c r="U36" s="127">
        <f t="shared" si="8"/>
        <v>-0.20000000000000284</v>
      </c>
      <c r="V36" s="127">
        <f t="shared" si="9"/>
        <v>3.5</v>
      </c>
      <c r="W36" s="127">
        <f t="shared" si="10"/>
        <v>0.30000000000000426</v>
      </c>
    </row>
    <row r="37" spans="1:23" ht="12.75">
      <c r="A37" s="134" t="s">
        <v>16</v>
      </c>
      <c r="B37" s="135">
        <v>0.62</v>
      </c>
      <c r="C37" s="132">
        <v>0.85</v>
      </c>
      <c r="D37" s="132">
        <v>0.86</v>
      </c>
      <c r="E37" s="132">
        <v>0.78</v>
      </c>
      <c r="F37" s="132">
        <v>0.73</v>
      </c>
      <c r="G37" s="133">
        <v>0.71</v>
      </c>
      <c r="H37" s="125"/>
      <c r="I37" s="134" t="s">
        <v>16</v>
      </c>
      <c r="J37" s="135">
        <v>0.71</v>
      </c>
      <c r="K37" s="132">
        <v>0.82</v>
      </c>
      <c r="L37" s="132">
        <v>0.74</v>
      </c>
      <c r="M37" s="132">
        <v>0.82</v>
      </c>
      <c r="N37" s="132">
        <v>0.76</v>
      </c>
      <c r="O37" s="133">
        <v>0.82</v>
      </c>
      <c r="Q37" s="128" t="str">
        <f t="shared" si="4"/>
        <v>IACC</v>
      </c>
      <c r="R37" s="127">
        <f t="shared" si="11"/>
        <v>-0.08999999999999997</v>
      </c>
      <c r="S37" s="127">
        <f t="shared" si="6"/>
        <v>0.030000000000000027</v>
      </c>
      <c r="T37" s="127">
        <f t="shared" si="7"/>
        <v>0.12</v>
      </c>
      <c r="U37" s="127">
        <f t="shared" si="8"/>
        <v>-0.039999999999999925</v>
      </c>
      <c r="V37" s="127">
        <f t="shared" si="9"/>
        <v>-0.030000000000000027</v>
      </c>
      <c r="W37" s="127">
        <f t="shared" si="10"/>
        <v>-0.10999999999999999</v>
      </c>
    </row>
    <row r="38" spans="5:15" ht="12.75">
      <c r="E38" s="136"/>
      <c r="F38" s="136"/>
      <c r="G38" s="136"/>
      <c r="H38" s="136"/>
      <c r="M38" s="136"/>
      <c r="N38" s="136"/>
      <c r="O38" s="136"/>
    </row>
    <row r="39" spans="1:18" ht="12.75">
      <c r="A39" s="155" t="s">
        <v>18</v>
      </c>
      <c r="B39" s="156" t="s">
        <v>1</v>
      </c>
      <c r="E39" s="136"/>
      <c r="F39" s="136"/>
      <c r="G39" s="136"/>
      <c r="H39" s="136"/>
      <c r="I39" s="155" t="s">
        <v>18</v>
      </c>
      <c r="J39" s="156" t="s">
        <v>1</v>
      </c>
      <c r="M39" s="136"/>
      <c r="N39" s="136"/>
      <c r="O39" s="136"/>
      <c r="Q39" s="128" t="str">
        <f>+A39</f>
        <v>500 Hz</v>
      </c>
      <c r="R39" s="128" t="str">
        <f>+B39</f>
        <v>octave</v>
      </c>
    </row>
    <row r="40" spans="1:23" ht="12.75">
      <c r="A40" s="142"/>
      <c r="B40" s="140" t="s">
        <v>2</v>
      </c>
      <c r="C40" s="140" t="s">
        <v>3</v>
      </c>
      <c r="D40" s="139" t="s">
        <v>4</v>
      </c>
      <c r="E40" s="139" t="s">
        <v>5</v>
      </c>
      <c r="F40" s="140" t="s">
        <v>6</v>
      </c>
      <c r="G40" s="139" t="s">
        <v>7</v>
      </c>
      <c r="H40" s="141"/>
      <c r="I40" s="142"/>
      <c r="J40" s="140" t="s">
        <v>2</v>
      </c>
      <c r="K40" s="140" t="s">
        <v>3</v>
      </c>
      <c r="L40" s="139" t="s">
        <v>4</v>
      </c>
      <c r="M40" s="139" t="s">
        <v>5</v>
      </c>
      <c r="N40" s="140" t="s">
        <v>6</v>
      </c>
      <c r="O40" s="139" t="s">
        <v>7</v>
      </c>
      <c r="Q40" s="128">
        <f aca="true" t="shared" si="12" ref="Q40:Q49">+A40</f>
        <v>0</v>
      </c>
      <c r="R40" s="128" t="str">
        <f aca="true" t="shared" si="13" ref="R40:W40">+B40</f>
        <v>S1R1</v>
      </c>
      <c r="S40" s="128" t="str">
        <f t="shared" si="13"/>
        <v>S1R2</v>
      </c>
      <c r="T40" s="128" t="str">
        <f t="shared" si="13"/>
        <v>S1R3</v>
      </c>
      <c r="U40" s="128" t="str">
        <f t="shared" si="13"/>
        <v>S2R1</v>
      </c>
      <c r="V40" s="128" t="str">
        <f t="shared" si="13"/>
        <v>S2R2</v>
      </c>
      <c r="W40" s="128" t="str">
        <f t="shared" si="13"/>
        <v>S2R3</v>
      </c>
    </row>
    <row r="41" spans="1:23" ht="12.75">
      <c r="A41" s="130" t="s">
        <v>8</v>
      </c>
      <c r="B41" s="145">
        <v>1.07</v>
      </c>
      <c r="C41" s="143">
        <v>1.06</v>
      </c>
      <c r="D41" s="143">
        <v>1.07</v>
      </c>
      <c r="E41" s="125">
        <v>1.06</v>
      </c>
      <c r="F41" s="143">
        <v>1.06</v>
      </c>
      <c r="G41" s="144">
        <v>1.07</v>
      </c>
      <c r="H41" s="125"/>
      <c r="I41" s="130" t="s">
        <v>8</v>
      </c>
      <c r="J41" s="145">
        <v>0.83</v>
      </c>
      <c r="K41" s="143">
        <v>0.85</v>
      </c>
      <c r="L41" s="143">
        <v>0.86</v>
      </c>
      <c r="M41" s="125">
        <v>0.83</v>
      </c>
      <c r="N41" s="143">
        <v>0.86</v>
      </c>
      <c r="O41" s="144">
        <v>0.86</v>
      </c>
      <c r="Q41" s="128" t="str">
        <f t="shared" si="12"/>
        <v>T30/s</v>
      </c>
      <c r="R41" s="127">
        <f>+B41-J41</f>
        <v>0.2400000000000001</v>
      </c>
      <c r="S41" s="127">
        <f aca="true" t="shared" si="14" ref="S41:S49">+C41-K41</f>
        <v>0.21000000000000008</v>
      </c>
      <c r="T41" s="127">
        <f aca="true" t="shared" si="15" ref="T41:T49">+D41-L41</f>
        <v>0.21000000000000008</v>
      </c>
      <c r="U41" s="127">
        <f aca="true" t="shared" si="16" ref="U41:U49">+E41-M41</f>
        <v>0.2300000000000001</v>
      </c>
      <c r="V41" s="127">
        <f aca="true" t="shared" si="17" ref="V41:V49">+F41-N41</f>
        <v>0.20000000000000007</v>
      </c>
      <c r="W41" s="127">
        <f aca="true" t="shared" si="18" ref="W41:W49">+G41-O41</f>
        <v>0.21000000000000008</v>
      </c>
    </row>
    <row r="42" spans="1:23" ht="12.75">
      <c r="A42" s="130" t="s">
        <v>9</v>
      </c>
      <c r="B42" s="131">
        <v>1.05</v>
      </c>
      <c r="C42" s="125">
        <v>1.02</v>
      </c>
      <c r="D42" s="125">
        <v>1.06</v>
      </c>
      <c r="E42" s="125">
        <v>1.02</v>
      </c>
      <c r="F42" s="125">
        <v>1.05</v>
      </c>
      <c r="G42" s="129">
        <v>1</v>
      </c>
      <c r="H42" s="125"/>
      <c r="I42" s="130" t="s">
        <v>9</v>
      </c>
      <c r="J42" s="131">
        <v>0.84</v>
      </c>
      <c r="K42" s="125">
        <v>0.85</v>
      </c>
      <c r="L42" s="125">
        <v>0.82</v>
      </c>
      <c r="M42" s="125">
        <v>0.86</v>
      </c>
      <c r="N42" s="125">
        <v>0.86</v>
      </c>
      <c r="O42" s="129">
        <v>0.82</v>
      </c>
      <c r="Q42" s="128" t="str">
        <f t="shared" si="12"/>
        <v>EDT/s</v>
      </c>
      <c r="R42" s="127">
        <f aca="true" t="shared" si="19" ref="R42:R49">+B42-J42</f>
        <v>0.21000000000000008</v>
      </c>
      <c r="S42" s="127">
        <f t="shared" si="14"/>
        <v>0.17000000000000004</v>
      </c>
      <c r="T42" s="127">
        <f t="shared" si="15"/>
        <v>0.2400000000000001</v>
      </c>
      <c r="U42" s="127">
        <f t="shared" si="16"/>
        <v>0.16000000000000003</v>
      </c>
      <c r="V42" s="127">
        <f t="shared" si="17"/>
        <v>0.19000000000000006</v>
      </c>
      <c r="W42" s="127">
        <f t="shared" si="18"/>
        <v>0.18000000000000005</v>
      </c>
    </row>
    <row r="43" spans="1:23" ht="12.75">
      <c r="A43" s="130" t="s">
        <v>10</v>
      </c>
      <c r="B43" s="131">
        <v>50.2</v>
      </c>
      <c r="C43" s="125">
        <v>56.1</v>
      </c>
      <c r="D43" s="125">
        <v>48.8</v>
      </c>
      <c r="E43" s="125">
        <v>57.5</v>
      </c>
      <c r="F43" s="125">
        <v>50.3</v>
      </c>
      <c r="G43" s="129">
        <v>57.3</v>
      </c>
      <c r="H43" s="125"/>
      <c r="I43" s="130" t="s">
        <v>10</v>
      </c>
      <c r="J43" s="131">
        <v>60</v>
      </c>
      <c r="K43" s="125">
        <v>63.2</v>
      </c>
      <c r="L43" s="125">
        <v>59.4</v>
      </c>
      <c r="M43" s="125">
        <v>62.9</v>
      </c>
      <c r="N43" s="125">
        <v>58.6</v>
      </c>
      <c r="O43" s="129">
        <v>64</v>
      </c>
      <c r="Q43" s="128" t="str">
        <f t="shared" si="12"/>
        <v>D/%</v>
      </c>
      <c r="R43" s="127">
        <f t="shared" si="19"/>
        <v>-9.799999999999997</v>
      </c>
      <c r="S43" s="127">
        <f t="shared" si="14"/>
        <v>-7.100000000000001</v>
      </c>
      <c r="T43" s="127">
        <f t="shared" si="15"/>
        <v>-10.600000000000001</v>
      </c>
      <c r="U43" s="127">
        <f t="shared" si="16"/>
        <v>-5.399999999999999</v>
      </c>
      <c r="V43" s="127">
        <f t="shared" si="17"/>
        <v>-8.300000000000004</v>
      </c>
      <c r="W43" s="127">
        <f t="shared" si="18"/>
        <v>-6.700000000000003</v>
      </c>
    </row>
    <row r="44" spans="1:23" ht="12.75">
      <c r="A44" s="130" t="s">
        <v>11</v>
      </c>
      <c r="B44" s="131">
        <v>3.2</v>
      </c>
      <c r="C44" s="125">
        <v>3.8</v>
      </c>
      <c r="D44" s="125">
        <v>2.9</v>
      </c>
      <c r="E44" s="125">
        <v>4.1</v>
      </c>
      <c r="F44" s="125">
        <v>3.1</v>
      </c>
      <c r="G44" s="129">
        <v>4.2</v>
      </c>
      <c r="H44" s="125"/>
      <c r="I44" s="130" t="s">
        <v>11</v>
      </c>
      <c r="J44" s="131">
        <v>4.9</v>
      </c>
      <c r="K44" s="125">
        <v>5.3</v>
      </c>
      <c r="L44" s="125">
        <v>4.9</v>
      </c>
      <c r="M44" s="125">
        <v>5.2</v>
      </c>
      <c r="N44" s="125">
        <v>4.5</v>
      </c>
      <c r="O44" s="129">
        <v>5.6</v>
      </c>
      <c r="Q44" s="128" t="str">
        <f t="shared" si="12"/>
        <v>C/dB</v>
      </c>
      <c r="R44" s="127">
        <f t="shared" si="19"/>
        <v>-1.7000000000000002</v>
      </c>
      <c r="S44" s="127">
        <f t="shared" si="14"/>
        <v>-1.5</v>
      </c>
      <c r="T44" s="127">
        <f t="shared" si="15"/>
        <v>-2.0000000000000004</v>
      </c>
      <c r="U44" s="127">
        <f t="shared" si="16"/>
        <v>-1.1000000000000005</v>
      </c>
      <c r="V44" s="127">
        <f t="shared" si="17"/>
        <v>-1.4</v>
      </c>
      <c r="W44" s="127">
        <f t="shared" si="18"/>
        <v>-1.3999999999999995</v>
      </c>
    </row>
    <row r="45" spans="1:23" ht="12.75">
      <c r="A45" s="130" t="s">
        <v>12</v>
      </c>
      <c r="B45" s="131">
        <v>71.2</v>
      </c>
      <c r="C45" s="125">
        <v>65.2</v>
      </c>
      <c r="D45" s="125">
        <v>74.9</v>
      </c>
      <c r="E45" s="125">
        <v>62.5</v>
      </c>
      <c r="F45" s="125">
        <v>72.3</v>
      </c>
      <c r="G45" s="129">
        <v>62.8</v>
      </c>
      <c r="H45" s="125"/>
      <c r="I45" s="130" t="s">
        <v>12</v>
      </c>
      <c r="J45" s="131">
        <v>56.1</v>
      </c>
      <c r="K45" s="125">
        <v>52</v>
      </c>
      <c r="L45" s="125">
        <v>57.3</v>
      </c>
      <c r="M45" s="125">
        <v>50.8</v>
      </c>
      <c r="N45" s="125">
        <v>58.2</v>
      </c>
      <c r="O45" s="129">
        <v>50</v>
      </c>
      <c r="Q45" s="128" t="str">
        <f t="shared" si="12"/>
        <v>TS/ms</v>
      </c>
      <c r="R45" s="127">
        <f t="shared" si="19"/>
        <v>15.100000000000001</v>
      </c>
      <c r="S45" s="127">
        <f t="shared" si="14"/>
        <v>13.200000000000003</v>
      </c>
      <c r="T45" s="127">
        <f t="shared" si="15"/>
        <v>17.60000000000001</v>
      </c>
      <c r="U45" s="127">
        <f t="shared" si="16"/>
        <v>11.700000000000003</v>
      </c>
      <c r="V45" s="127">
        <f t="shared" si="17"/>
        <v>14.099999999999994</v>
      </c>
      <c r="W45" s="127">
        <f t="shared" si="18"/>
        <v>12.799999999999997</v>
      </c>
    </row>
    <row r="46" spans="1:23" ht="12.75">
      <c r="A46" s="130" t="s">
        <v>13</v>
      </c>
      <c r="B46" s="131">
        <v>18.9</v>
      </c>
      <c r="C46" s="125">
        <v>20.4</v>
      </c>
      <c r="D46" s="125">
        <v>19</v>
      </c>
      <c r="E46" s="125">
        <v>20</v>
      </c>
      <c r="F46" s="125">
        <v>19.2</v>
      </c>
      <c r="G46" s="129">
        <v>20.3</v>
      </c>
      <c r="H46" s="125"/>
      <c r="I46" s="130" t="s">
        <v>13</v>
      </c>
      <c r="J46" s="131">
        <v>18.2</v>
      </c>
      <c r="K46" s="125">
        <v>19.4</v>
      </c>
      <c r="L46" s="125">
        <v>18.5</v>
      </c>
      <c r="M46" s="125">
        <v>19</v>
      </c>
      <c r="N46" s="125">
        <v>18.4</v>
      </c>
      <c r="O46" s="129">
        <v>19.6</v>
      </c>
      <c r="Q46" s="128" t="str">
        <f t="shared" si="12"/>
        <v>G/dB</v>
      </c>
      <c r="R46" s="127">
        <f t="shared" si="19"/>
        <v>0.6999999999999993</v>
      </c>
      <c r="S46" s="127">
        <f t="shared" si="14"/>
        <v>1</v>
      </c>
      <c r="T46" s="127">
        <f t="shared" si="15"/>
        <v>0.5</v>
      </c>
      <c r="U46" s="127">
        <f t="shared" si="16"/>
        <v>1</v>
      </c>
      <c r="V46" s="127">
        <f t="shared" si="17"/>
        <v>0.8000000000000007</v>
      </c>
      <c r="W46" s="127">
        <f t="shared" si="18"/>
        <v>0.6999999999999993</v>
      </c>
    </row>
    <row r="47" spans="1:23" ht="12.75">
      <c r="A47" s="130" t="s">
        <v>14</v>
      </c>
      <c r="B47" s="131">
        <v>25.3</v>
      </c>
      <c r="C47" s="125">
        <v>22.3</v>
      </c>
      <c r="D47" s="125">
        <v>23.6</v>
      </c>
      <c r="E47" s="125">
        <v>23.1</v>
      </c>
      <c r="F47" s="125">
        <v>27.3</v>
      </c>
      <c r="G47" s="129">
        <v>24.7</v>
      </c>
      <c r="H47" s="125"/>
      <c r="I47" s="130" t="s">
        <v>14</v>
      </c>
      <c r="J47" s="131">
        <v>23.3</v>
      </c>
      <c r="K47" s="125">
        <v>20</v>
      </c>
      <c r="L47" s="125">
        <v>26.7</v>
      </c>
      <c r="M47" s="125">
        <v>21.2</v>
      </c>
      <c r="N47" s="125">
        <v>26.4</v>
      </c>
      <c r="O47" s="129">
        <v>22.2</v>
      </c>
      <c r="Q47" s="128" t="str">
        <f t="shared" si="12"/>
        <v>LF/%</v>
      </c>
      <c r="R47" s="127">
        <f t="shared" si="19"/>
        <v>2</v>
      </c>
      <c r="S47" s="127">
        <f t="shared" si="14"/>
        <v>2.3000000000000007</v>
      </c>
      <c r="T47" s="127">
        <f t="shared" si="15"/>
        <v>-3.099999999999998</v>
      </c>
      <c r="U47" s="127">
        <f t="shared" si="16"/>
        <v>1.9000000000000021</v>
      </c>
      <c r="V47" s="127">
        <f t="shared" si="17"/>
        <v>0.9000000000000021</v>
      </c>
      <c r="W47" s="127">
        <f t="shared" si="18"/>
        <v>2.5</v>
      </c>
    </row>
    <row r="48" spans="1:23" ht="12.75">
      <c r="A48" s="130" t="s">
        <v>15</v>
      </c>
      <c r="B48" s="131">
        <v>36.8</v>
      </c>
      <c r="C48" s="125">
        <v>33.2</v>
      </c>
      <c r="D48" s="125">
        <v>37.8</v>
      </c>
      <c r="E48" s="125">
        <v>34</v>
      </c>
      <c r="F48" s="125">
        <v>39.7</v>
      </c>
      <c r="G48" s="129">
        <v>36.1</v>
      </c>
      <c r="H48" s="125"/>
      <c r="I48" s="130" t="s">
        <v>15</v>
      </c>
      <c r="J48" s="131">
        <v>35.4</v>
      </c>
      <c r="K48" s="125">
        <v>30.2</v>
      </c>
      <c r="L48" s="125">
        <v>40.4</v>
      </c>
      <c r="M48" s="125">
        <v>31.1</v>
      </c>
      <c r="N48" s="125">
        <v>38.6</v>
      </c>
      <c r="O48" s="129">
        <v>33.7</v>
      </c>
      <c r="Q48" s="128" t="str">
        <f t="shared" si="12"/>
        <v>LFC/%</v>
      </c>
      <c r="R48" s="127">
        <f t="shared" si="19"/>
        <v>1.3999999999999986</v>
      </c>
      <c r="S48" s="127">
        <f t="shared" si="14"/>
        <v>3.0000000000000036</v>
      </c>
      <c r="T48" s="127">
        <f t="shared" si="15"/>
        <v>-2.6000000000000014</v>
      </c>
      <c r="U48" s="127">
        <f t="shared" si="16"/>
        <v>2.8999999999999986</v>
      </c>
      <c r="V48" s="127">
        <f t="shared" si="17"/>
        <v>1.1000000000000014</v>
      </c>
      <c r="W48" s="127">
        <f t="shared" si="18"/>
        <v>2.3999999999999986</v>
      </c>
    </row>
    <row r="49" spans="1:23" ht="12.75">
      <c r="A49" s="134" t="s">
        <v>16</v>
      </c>
      <c r="B49" s="135">
        <v>0.35</v>
      </c>
      <c r="C49" s="132">
        <v>0.43</v>
      </c>
      <c r="D49" s="132">
        <v>0.32</v>
      </c>
      <c r="E49" s="132">
        <v>0.34</v>
      </c>
      <c r="F49" s="132">
        <v>0.47</v>
      </c>
      <c r="G49" s="133">
        <v>0.29</v>
      </c>
      <c r="H49" s="125"/>
      <c r="I49" s="134" t="s">
        <v>16</v>
      </c>
      <c r="J49" s="135">
        <v>0.34</v>
      </c>
      <c r="K49" s="132">
        <v>0.34</v>
      </c>
      <c r="L49" s="132">
        <v>0.26</v>
      </c>
      <c r="M49" s="132">
        <v>0.51</v>
      </c>
      <c r="N49" s="132">
        <v>0.27</v>
      </c>
      <c r="O49" s="133">
        <v>0.31</v>
      </c>
      <c r="Q49" s="128" t="str">
        <f t="shared" si="12"/>
        <v>IACC</v>
      </c>
      <c r="R49" s="127">
        <f t="shared" si="19"/>
        <v>0.009999999999999953</v>
      </c>
      <c r="S49" s="127">
        <f t="shared" si="14"/>
        <v>0.08999999999999997</v>
      </c>
      <c r="T49" s="127">
        <f t="shared" si="15"/>
        <v>0.06</v>
      </c>
      <c r="U49" s="127">
        <f t="shared" si="16"/>
        <v>-0.16999999999999998</v>
      </c>
      <c r="V49" s="127">
        <f t="shared" si="17"/>
        <v>0.19999999999999996</v>
      </c>
      <c r="W49" s="127">
        <f t="shared" si="18"/>
        <v>-0.020000000000000018</v>
      </c>
    </row>
    <row r="50" spans="5:23" ht="12.75">
      <c r="E50" s="136"/>
      <c r="F50" s="136"/>
      <c r="G50" s="136"/>
      <c r="H50" s="136"/>
      <c r="M50" s="136"/>
      <c r="N50" s="136"/>
      <c r="O50" s="136"/>
      <c r="R50" s="127"/>
      <c r="S50" s="127"/>
      <c r="T50" s="127"/>
      <c r="U50" s="127"/>
      <c r="V50" s="127"/>
      <c r="W50" s="127"/>
    </row>
    <row r="51" spans="1:18" ht="12.75">
      <c r="A51" s="155" t="s">
        <v>19</v>
      </c>
      <c r="B51" s="156" t="s">
        <v>1</v>
      </c>
      <c r="E51" s="136"/>
      <c r="F51" s="136"/>
      <c r="G51" s="136"/>
      <c r="H51" s="136"/>
      <c r="I51" s="155" t="s">
        <v>19</v>
      </c>
      <c r="J51" s="156" t="s">
        <v>1</v>
      </c>
      <c r="M51" s="136"/>
      <c r="N51" s="136"/>
      <c r="O51" s="136"/>
      <c r="Q51" s="128" t="str">
        <f>+A51</f>
        <v>1000 Hz</v>
      </c>
      <c r="R51" s="128" t="str">
        <f>+B51</f>
        <v>octave</v>
      </c>
    </row>
    <row r="52" spans="1:23" ht="12.75">
      <c r="A52" s="142"/>
      <c r="B52" s="140" t="s">
        <v>2</v>
      </c>
      <c r="C52" s="140" t="s">
        <v>3</v>
      </c>
      <c r="D52" s="139" t="s">
        <v>4</v>
      </c>
      <c r="E52" s="139" t="s">
        <v>5</v>
      </c>
      <c r="F52" s="140" t="s">
        <v>6</v>
      </c>
      <c r="G52" s="139" t="s">
        <v>7</v>
      </c>
      <c r="H52" s="141"/>
      <c r="I52" s="142"/>
      <c r="J52" s="140" t="s">
        <v>2</v>
      </c>
      <c r="K52" s="140" t="s">
        <v>3</v>
      </c>
      <c r="L52" s="139" t="s">
        <v>4</v>
      </c>
      <c r="M52" s="139" t="s">
        <v>5</v>
      </c>
      <c r="N52" s="140" t="s">
        <v>6</v>
      </c>
      <c r="O52" s="139" t="s">
        <v>7</v>
      </c>
      <c r="Q52" s="128">
        <f aca="true" t="shared" si="20" ref="Q52:Q61">+A52</f>
        <v>0</v>
      </c>
      <c r="R52" s="128" t="str">
        <f aca="true" t="shared" si="21" ref="R52:W52">+B52</f>
        <v>S1R1</v>
      </c>
      <c r="S52" s="128" t="str">
        <f t="shared" si="21"/>
        <v>S1R2</v>
      </c>
      <c r="T52" s="128" t="str">
        <f t="shared" si="21"/>
        <v>S1R3</v>
      </c>
      <c r="U52" s="128" t="str">
        <f t="shared" si="21"/>
        <v>S2R1</v>
      </c>
      <c r="V52" s="128" t="str">
        <f t="shared" si="21"/>
        <v>S2R2</v>
      </c>
      <c r="W52" s="128" t="str">
        <f t="shared" si="21"/>
        <v>S2R3</v>
      </c>
    </row>
    <row r="53" spans="1:23" ht="12.75">
      <c r="A53" s="130" t="s">
        <v>8</v>
      </c>
      <c r="B53" s="145">
        <v>0.94</v>
      </c>
      <c r="C53" s="143">
        <v>0.96</v>
      </c>
      <c r="D53" s="143">
        <v>0.97</v>
      </c>
      <c r="E53" s="125">
        <v>0.96</v>
      </c>
      <c r="F53" s="143">
        <v>0.96</v>
      </c>
      <c r="G53" s="144">
        <v>0.97</v>
      </c>
      <c r="H53" s="125"/>
      <c r="I53" s="130" t="s">
        <v>8</v>
      </c>
      <c r="J53" s="145">
        <v>0.73</v>
      </c>
      <c r="K53" s="143">
        <v>0.75</v>
      </c>
      <c r="L53" s="143">
        <v>0.75</v>
      </c>
      <c r="M53" s="125">
        <v>0.74</v>
      </c>
      <c r="N53" s="143">
        <v>0.75</v>
      </c>
      <c r="O53" s="144">
        <v>0.75</v>
      </c>
      <c r="Q53" s="128" t="str">
        <f t="shared" si="20"/>
        <v>T30/s</v>
      </c>
      <c r="R53" s="127">
        <f>+B53-J53</f>
        <v>0.20999999999999996</v>
      </c>
      <c r="S53" s="127">
        <f aca="true" t="shared" si="22" ref="S53:S61">+C53-K53</f>
        <v>0.20999999999999996</v>
      </c>
      <c r="T53" s="127">
        <f aca="true" t="shared" si="23" ref="T53:T61">+D53-L53</f>
        <v>0.21999999999999997</v>
      </c>
      <c r="U53" s="127">
        <f aca="true" t="shared" si="24" ref="U53:U61">+E53-M53</f>
        <v>0.21999999999999997</v>
      </c>
      <c r="V53" s="127">
        <f aca="true" t="shared" si="25" ref="V53:V61">+F53-N53</f>
        <v>0.20999999999999996</v>
      </c>
      <c r="W53" s="127">
        <f aca="true" t="shared" si="26" ref="W53:W61">+G53-O53</f>
        <v>0.21999999999999997</v>
      </c>
    </row>
    <row r="54" spans="1:23" ht="12.75">
      <c r="A54" s="130" t="s">
        <v>9</v>
      </c>
      <c r="B54" s="131">
        <v>0.95</v>
      </c>
      <c r="C54" s="125">
        <v>0.92</v>
      </c>
      <c r="D54" s="125">
        <v>0.94</v>
      </c>
      <c r="E54" s="125">
        <v>0.94</v>
      </c>
      <c r="F54" s="125">
        <v>0.96</v>
      </c>
      <c r="G54" s="129">
        <v>0.9</v>
      </c>
      <c r="H54" s="125"/>
      <c r="I54" s="130" t="s">
        <v>9</v>
      </c>
      <c r="J54" s="131">
        <v>0.77</v>
      </c>
      <c r="K54" s="125">
        <v>0.74</v>
      </c>
      <c r="L54" s="125">
        <v>0.73</v>
      </c>
      <c r="M54" s="125">
        <v>0.72</v>
      </c>
      <c r="N54" s="125">
        <v>0.78</v>
      </c>
      <c r="O54" s="129">
        <v>0.72</v>
      </c>
      <c r="Q54" s="128" t="str">
        <f t="shared" si="20"/>
        <v>EDT/s</v>
      </c>
      <c r="R54" s="127">
        <f aca="true" t="shared" si="27" ref="R54:R61">+B54-J54</f>
        <v>0.17999999999999994</v>
      </c>
      <c r="S54" s="127">
        <f t="shared" si="22"/>
        <v>0.18000000000000005</v>
      </c>
      <c r="T54" s="127">
        <f t="shared" si="23"/>
        <v>0.20999999999999996</v>
      </c>
      <c r="U54" s="127">
        <f t="shared" si="24"/>
        <v>0.21999999999999997</v>
      </c>
      <c r="V54" s="127">
        <f t="shared" si="25"/>
        <v>0.17999999999999994</v>
      </c>
      <c r="W54" s="127">
        <f t="shared" si="26"/>
        <v>0.18000000000000005</v>
      </c>
    </row>
    <row r="55" spans="1:23" ht="12.75">
      <c r="A55" s="130" t="s">
        <v>10</v>
      </c>
      <c r="B55" s="131">
        <v>55.9</v>
      </c>
      <c r="C55" s="125">
        <v>58.8</v>
      </c>
      <c r="D55" s="125">
        <v>53.5</v>
      </c>
      <c r="E55" s="125">
        <v>62.6</v>
      </c>
      <c r="F55" s="125">
        <v>52.3</v>
      </c>
      <c r="G55" s="129">
        <v>62.4</v>
      </c>
      <c r="H55" s="125"/>
      <c r="I55" s="130" t="s">
        <v>10</v>
      </c>
      <c r="J55" s="131">
        <v>63.5</v>
      </c>
      <c r="K55" s="125">
        <v>68.7</v>
      </c>
      <c r="L55" s="125">
        <v>63.9</v>
      </c>
      <c r="M55" s="125">
        <v>69.8</v>
      </c>
      <c r="N55" s="125">
        <v>61.5</v>
      </c>
      <c r="O55" s="129">
        <v>70.4</v>
      </c>
      <c r="Q55" s="128" t="str">
        <f t="shared" si="20"/>
        <v>D/%</v>
      </c>
      <c r="R55" s="127">
        <f t="shared" si="27"/>
        <v>-7.600000000000001</v>
      </c>
      <c r="S55" s="127">
        <f t="shared" si="22"/>
        <v>-9.900000000000006</v>
      </c>
      <c r="T55" s="127">
        <f t="shared" si="23"/>
        <v>-10.399999999999999</v>
      </c>
      <c r="U55" s="127">
        <f t="shared" si="24"/>
        <v>-7.199999999999996</v>
      </c>
      <c r="V55" s="127">
        <f t="shared" si="25"/>
        <v>-9.200000000000003</v>
      </c>
      <c r="W55" s="127">
        <f t="shared" si="26"/>
        <v>-8.000000000000007</v>
      </c>
    </row>
    <row r="56" spans="1:23" ht="12.75">
      <c r="A56" s="130" t="s">
        <v>11</v>
      </c>
      <c r="B56" s="131">
        <v>3.8</v>
      </c>
      <c r="C56" s="125">
        <v>4.6</v>
      </c>
      <c r="D56" s="125">
        <v>3.9</v>
      </c>
      <c r="E56" s="125">
        <v>5</v>
      </c>
      <c r="F56" s="125">
        <v>3.6</v>
      </c>
      <c r="G56" s="129">
        <v>5</v>
      </c>
      <c r="H56" s="125"/>
      <c r="I56" s="130" t="s">
        <v>11</v>
      </c>
      <c r="J56" s="131">
        <v>5.6</v>
      </c>
      <c r="K56" s="125">
        <v>6.4</v>
      </c>
      <c r="L56" s="125">
        <v>5.9</v>
      </c>
      <c r="M56" s="125">
        <v>6.9</v>
      </c>
      <c r="N56" s="125">
        <v>5.4</v>
      </c>
      <c r="O56" s="129">
        <v>6.8</v>
      </c>
      <c r="Q56" s="128" t="str">
        <f t="shared" si="20"/>
        <v>C/dB</v>
      </c>
      <c r="R56" s="127">
        <f t="shared" si="27"/>
        <v>-1.7999999999999998</v>
      </c>
      <c r="S56" s="127">
        <f t="shared" si="22"/>
        <v>-1.8000000000000007</v>
      </c>
      <c r="T56" s="127">
        <f t="shared" si="23"/>
        <v>-2.0000000000000004</v>
      </c>
      <c r="U56" s="127">
        <f t="shared" si="24"/>
        <v>-1.9000000000000004</v>
      </c>
      <c r="V56" s="127">
        <f t="shared" si="25"/>
        <v>-1.8000000000000003</v>
      </c>
      <c r="W56" s="127">
        <f t="shared" si="26"/>
        <v>-1.7999999999999998</v>
      </c>
    </row>
    <row r="57" spans="1:23" ht="13.5" customHeight="1">
      <c r="A57" s="130" t="s">
        <v>12</v>
      </c>
      <c r="B57" s="131">
        <v>63.4</v>
      </c>
      <c r="C57" s="125">
        <v>58.2</v>
      </c>
      <c r="D57" s="125">
        <v>65.1</v>
      </c>
      <c r="E57" s="125">
        <v>54.3</v>
      </c>
      <c r="F57" s="125">
        <v>65.4</v>
      </c>
      <c r="G57" s="129">
        <v>54.7</v>
      </c>
      <c r="H57" s="125"/>
      <c r="I57" s="130" t="s">
        <v>12</v>
      </c>
      <c r="J57" s="131">
        <v>50</v>
      </c>
      <c r="K57" s="125">
        <v>43.8</v>
      </c>
      <c r="L57" s="125">
        <v>50.5</v>
      </c>
      <c r="M57" s="125">
        <v>41.9</v>
      </c>
      <c r="N57" s="125">
        <v>51.5</v>
      </c>
      <c r="O57" s="129">
        <v>42.5</v>
      </c>
      <c r="Q57" s="128" t="str">
        <f t="shared" si="20"/>
        <v>TS/ms</v>
      </c>
      <c r="R57" s="127">
        <f t="shared" si="27"/>
        <v>13.399999999999999</v>
      </c>
      <c r="S57" s="127">
        <f t="shared" si="22"/>
        <v>14.400000000000006</v>
      </c>
      <c r="T57" s="127">
        <f t="shared" si="23"/>
        <v>14.599999999999994</v>
      </c>
      <c r="U57" s="127">
        <f t="shared" si="24"/>
        <v>12.399999999999999</v>
      </c>
      <c r="V57" s="127">
        <f t="shared" si="25"/>
        <v>13.900000000000006</v>
      </c>
      <c r="W57" s="127">
        <f t="shared" si="26"/>
        <v>12.200000000000003</v>
      </c>
    </row>
    <row r="58" spans="1:23" ht="12" customHeight="1">
      <c r="A58" s="130" t="s">
        <v>13</v>
      </c>
      <c r="B58" s="131">
        <v>18.5</v>
      </c>
      <c r="C58" s="125">
        <v>19.9</v>
      </c>
      <c r="D58" s="125">
        <v>18.6</v>
      </c>
      <c r="E58" s="125">
        <v>19.5</v>
      </c>
      <c r="F58" s="125">
        <v>18.5</v>
      </c>
      <c r="G58" s="129">
        <v>19.7</v>
      </c>
      <c r="H58" s="125"/>
      <c r="I58" s="130" t="s">
        <v>13</v>
      </c>
      <c r="J58" s="131">
        <v>17.7</v>
      </c>
      <c r="K58" s="125">
        <v>19.1</v>
      </c>
      <c r="L58" s="125">
        <v>17.8</v>
      </c>
      <c r="M58" s="125">
        <v>18.8</v>
      </c>
      <c r="N58" s="125">
        <v>17.8</v>
      </c>
      <c r="O58" s="129">
        <v>19.1</v>
      </c>
      <c r="Q58" s="128" t="str">
        <f t="shared" si="20"/>
        <v>G/dB</v>
      </c>
      <c r="R58" s="127">
        <f t="shared" si="27"/>
        <v>0.8000000000000007</v>
      </c>
      <c r="S58" s="127">
        <f t="shared" si="22"/>
        <v>0.7999999999999972</v>
      </c>
      <c r="T58" s="127">
        <f t="shared" si="23"/>
        <v>0.8000000000000007</v>
      </c>
      <c r="U58" s="127">
        <f t="shared" si="24"/>
        <v>0.6999999999999993</v>
      </c>
      <c r="V58" s="127">
        <f t="shared" si="25"/>
        <v>0.6999999999999993</v>
      </c>
      <c r="W58" s="127">
        <f t="shared" si="26"/>
        <v>0.5999999999999979</v>
      </c>
    </row>
    <row r="59" spans="1:23" ht="12.75">
      <c r="A59" s="130" t="s">
        <v>14</v>
      </c>
      <c r="B59" s="131">
        <v>25.6</v>
      </c>
      <c r="C59" s="125">
        <v>23.7</v>
      </c>
      <c r="D59" s="125">
        <v>24</v>
      </c>
      <c r="E59" s="125">
        <v>23.1</v>
      </c>
      <c r="F59" s="125">
        <v>25</v>
      </c>
      <c r="G59" s="129">
        <v>24.5</v>
      </c>
      <c r="H59" s="125"/>
      <c r="I59" s="130" t="s">
        <v>14</v>
      </c>
      <c r="J59" s="131">
        <v>21.1</v>
      </c>
      <c r="K59" s="125">
        <v>22.4</v>
      </c>
      <c r="L59" s="125">
        <v>25.8</v>
      </c>
      <c r="M59" s="125">
        <v>20.2</v>
      </c>
      <c r="N59" s="125">
        <v>24.3</v>
      </c>
      <c r="O59" s="129">
        <v>21.1</v>
      </c>
      <c r="Q59" s="128" t="str">
        <f t="shared" si="20"/>
        <v>LF/%</v>
      </c>
      <c r="R59" s="127">
        <f t="shared" si="27"/>
        <v>4.5</v>
      </c>
      <c r="S59" s="127">
        <f t="shared" si="22"/>
        <v>1.3000000000000007</v>
      </c>
      <c r="T59" s="127">
        <f t="shared" si="23"/>
        <v>-1.8000000000000007</v>
      </c>
      <c r="U59" s="127">
        <f t="shared" si="24"/>
        <v>2.900000000000002</v>
      </c>
      <c r="V59" s="127">
        <f t="shared" si="25"/>
        <v>0.6999999999999993</v>
      </c>
      <c r="W59" s="127">
        <f t="shared" si="26"/>
        <v>3.3999999999999986</v>
      </c>
    </row>
    <row r="60" spans="1:23" ht="12.75">
      <c r="A60" s="130" t="s">
        <v>15</v>
      </c>
      <c r="B60" s="131">
        <v>36.5</v>
      </c>
      <c r="C60" s="125">
        <v>34.1</v>
      </c>
      <c r="D60" s="125">
        <v>38</v>
      </c>
      <c r="E60" s="125">
        <v>33.4</v>
      </c>
      <c r="F60" s="125">
        <v>36.8</v>
      </c>
      <c r="G60" s="129">
        <v>35.6</v>
      </c>
      <c r="H60" s="125"/>
      <c r="I60" s="130" t="s">
        <v>15</v>
      </c>
      <c r="J60" s="131">
        <v>32.1</v>
      </c>
      <c r="K60" s="125">
        <v>32.4</v>
      </c>
      <c r="L60" s="125">
        <v>39</v>
      </c>
      <c r="M60" s="125">
        <v>30.5</v>
      </c>
      <c r="N60" s="125">
        <v>35.9</v>
      </c>
      <c r="O60" s="129">
        <v>31.5</v>
      </c>
      <c r="Q60" s="128" t="str">
        <f t="shared" si="20"/>
        <v>LFC/%</v>
      </c>
      <c r="R60" s="127">
        <f t="shared" si="27"/>
        <v>4.399999999999999</v>
      </c>
      <c r="S60" s="127">
        <f t="shared" si="22"/>
        <v>1.7000000000000028</v>
      </c>
      <c r="T60" s="127">
        <f t="shared" si="23"/>
        <v>-1</v>
      </c>
      <c r="U60" s="127">
        <f t="shared" si="24"/>
        <v>2.8999999999999986</v>
      </c>
      <c r="V60" s="127">
        <f t="shared" si="25"/>
        <v>0.8999999999999986</v>
      </c>
      <c r="W60" s="127">
        <f t="shared" si="26"/>
        <v>4.100000000000001</v>
      </c>
    </row>
    <row r="61" spans="1:23" ht="12.75">
      <c r="A61" s="134" t="s">
        <v>16</v>
      </c>
      <c r="B61" s="135">
        <v>0.37</v>
      </c>
      <c r="C61" s="132">
        <v>0.42</v>
      </c>
      <c r="D61" s="132">
        <v>0.28</v>
      </c>
      <c r="E61" s="132">
        <v>0.34</v>
      </c>
      <c r="F61" s="132">
        <v>0.26</v>
      </c>
      <c r="G61" s="133">
        <v>0.29</v>
      </c>
      <c r="H61" s="125"/>
      <c r="I61" s="134" t="s">
        <v>16</v>
      </c>
      <c r="J61" s="135">
        <v>0.45</v>
      </c>
      <c r="K61" s="132">
        <v>0.42</v>
      </c>
      <c r="L61" s="132">
        <v>0.36</v>
      </c>
      <c r="M61" s="132">
        <v>0.27</v>
      </c>
      <c r="N61" s="132">
        <v>0.32</v>
      </c>
      <c r="O61" s="133">
        <v>0.31</v>
      </c>
      <c r="Q61" s="128" t="str">
        <f t="shared" si="20"/>
        <v>IACC</v>
      </c>
      <c r="R61" s="127">
        <f t="shared" si="27"/>
        <v>-0.08000000000000002</v>
      </c>
      <c r="S61" s="127">
        <f t="shared" si="22"/>
        <v>0</v>
      </c>
      <c r="T61" s="127">
        <f t="shared" si="23"/>
        <v>-0.07999999999999996</v>
      </c>
      <c r="U61" s="127">
        <f t="shared" si="24"/>
        <v>0.07</v>
      </c>
      <c r="V61" s="127">
        <f t="shared" si="25"/>
        <v>-0.06</v>
      </c>
      <c r="W61" s="127">
        <f t="shared" si="26"/>
        <v>-0.020000000000000018</v>
      </c>
    </row>
    <row r="62" spans="5:15" ht="12.75">
      <c r="E62" s="136"/>
      <c r="F62" s="136"/>
      <c r="G62" s="136"/>
      <c r="H62" s="136"/>
      <c r="M62" s="136"/>
      <c r="N62" s="136"/>
      <c r="O62" s="136"/>
    </row>
    <row r="63" spans="1:18" ht="12.75">
      <c r="A63" s="155" t="s">
        <v>20</v>
      </c>
      <c r="B63" s="156" t="s">
        <v>1</v>
      </c>
      <c r="E63" s="136"/>
      <c r="F63" s="136"/>
      <c r="G63" s="136"/>
      <c r="H63" s="136"/>
      <c r="I63" s="155" t="s">
        <v>20</v>
      </c>
      <c r="J63" s="156" t="s">
        <v>1</v>
      </c>
      <c r="M63" s="136"/>
      <c r="N63" s="136"/>
      <c r="O63" s="136"/>
      <c r="Q63" s="128" t="str">
        <f>+A63</f>
        <v>2000 Hz</v>
      </c>
      <c r="R63" s="128" t="str">
        <f>+B63</f>
        <v>octave</v>
      </c>
    </row>
    <row r="64" spans="1:23" ht="12.75">
      <c r="A64" s="142"/>
      <c r="B64" s="140" t="s">
        <v>2</v>
      </c>
      <c r="C64" s="140" t="s">
        <v>3</v>
      </c>
      <c r="D64" s="139" t="s">
        <v>4</v>
      </c>
      <c r="E64" s="139" t="s">
        <v>5</v>
      </c>
      <c r="F64" s="140" t="s">
        <v>6</v>
      </c>
      <c r="G64" s="139" t="s">
        <v>7</v>
      </c>
      <c r="H64" s="141"/>
      <c r="I64" s="142"/>
      <c r="J64" s="140" t="s">
        <v>2</v>
      </c>
      <c r="K64" s="140" t="s">
        <v>3</v>
      </c>
      <c r="L64" s="139" t="s">
        <v>4</v>
      </c>
      <c r="M64" s="139" t="s">
        <v>5</v>
      </c>
      <c r="N64" s="140" t="s">
        <v>6</v>
      </c>
      <c r="O64" s="139" t="s">
        <v>7</v>
      </c>
      <c r="Q64" s="128">
        <f aca="true" t="shared" si="28" ref="Q64:Q73">+A64</f>
        <v>0</v>
      </c>
      <c r="R64" s="128" t="str">
        <f aca="true" t="shared" si="29" ref="R64:W64">+B64</f>
        <v>S1R1</v>
      </c>
      <c r="S64" s="128" t="str">
        <f t="shared" si="29"/>
        <v>S1R2</v>
      </c>
      <c r="T64" s="128" t="str">
        <f t="shared" si="29"/>
        <v>S1R3</v>
      </c>
      <c r="U64" s="128" t="str">
        <f t="shared" si="29"/>
        <v>S2R1</v>
      </c>
      <c r="V64" s="128" t="str">
        <f t="shared" si="29"/>
        <v>S2R2</v>
      </c>
      <c r="W64" s="128" t="str">
        <f t="shared" si="29"/>
        <v>S2R3</v>
      </c>
    </row>
    <row r="65" spans="1:23" ht="12.75">
      <c r="A65" s="130" t="s">
        <v>8</v>
      </c>
      <c r="B65" s="145">
        <v>1.07</v>
      </c>
      <c r="C65" s="143">
        <v>1.07</v>
      </c>
      <c r="D65" s="143">
        <v>1.08</v>
      </c>
      <c r="E65" s="125">
        <v>1.06</v>
      </c>
      <c r="F65" s="143">
        <v>1.06</v>
      </c>
      <c r="G65" s="144">
        <v>1.07</v>
      </c>
      <c r="H65" s="125"/>
      <c r="I65" s="130" t="s">
        <v>8</v>
      </c>
      <c r="J65" s="145">
        <v>0.73</v>
      </c>
      <c r="K65" s="143">
        <v>0.74</v>
      </c>
      <c r="L65" s="143">
        <v>0.75</v>
      </c>
      <c r="M65" s="125">
        <v>0.73</v>
      </c>
      <c r="N65" s="143">
        <v>0.74</v>
      </c>
      <c r="O65" s="144">
        <v>0.75</v>
      </c>
      <c r="Q65" s="128" t="str">
        <f t="shared" si="28"/>
        <v>T30/s</v>
      </c>
      <c r="R65" s="127">
        <f>+B65-J65</f>
        <v>0.3400000000000001</v>
      </c>
      <c r="S65" s="127">
        <f aca="true" t="shared" si="30" ref="S65:S73">+C65-K65</f>
        <v>0.33000000000000007</v>
      </c>
      <c r="T65" s="127">
        <f aca="true" t="shared" si="31" ref="T65:T73">+D65-L65</f>
        <v>0.33000000000000007</v>
      </c>
      <c r="U65" s="127">
        <f aca="true" t="shared" si="32" ref="U65:U73">+E65-M65</f>
        <v>0.33000000000000007</v>
      </c>
      <c r="V65" s="127">
        <f aca="true" t="shared" si="33" ref="V65:V73">+F65-N65</f>
        <v>0.32000000000000006</v>
      </c>
      <c r="W65" s="127">
        <f aca="true" t="shared" si="34" ref="W65:W73">+G65-O65</f>
        <v>0.32000000000000006</v>
      </c>
    </row>
    <row r="66" spans="1:23" ht="12.75">
      <c r="A66" s="130" t="s">
        <v>9</v>
      </c>
      <c r="B66" s="131">
        <v>1.05</v>
      </c>
      <c r="C66" s="125">
        <v>1.03</v>
      </c>
      <c r="D66" s="125">
        <v>1.06</v>
      </c>
      <c r="E66" s="125">
        <v>1.05</v>
      </c>
      <c r="F66" s="125">
        <v>1.04</v>
      </c>
      <c r="G66" s="129">
        <v>0.99</v>
      </c>
      <c r="H66" s="125"/>
      <c r="I66" s="130" t="s">
        <v>9</v>
      </c>
      <c r="J66" s="131">
        <v>0.78</v>
      </c>
      <c r="K66" s="125">
        <v>0.73</v>
      </c>
      <c r="L66" s="125">
        <v>0.69</v>
      </c>
      <c r="M66" s="125">
        <v>0.71</v>
      </c>
      <c r="N66" s="125">
        <v>0.77</v>
      </c>
      <c r="O66" s="129">
        <v>0.69</v>
      </c>
      <c r="Q66" s="128" t="str">
        <f t="shared" si="28"/>
        <v>EDT/s</v>
      </c>
      <c r="R66" s="127">
        <f aca="true" t="shared" si="35" ref="R66:R73">+B66-J66</f>
        <v>0.27</v>
      </c>
      <c r="S66" s="127">
        <f t="shared" si="30"/>
        <v>0.30000000000000004</v>
      </c>
      <c r="T66" s="127">
        <f t="shared" si="31"/>
        <v>0.3700000000000001</v>
      </c>
      <c r="U66" s="127">
        <f t="shared" si="32"/>
        <v>0.3400000000000001</v>
      </c>
      <c r="V66" s="127">
        <f t="shared" si="33"/>
        <v>0.27</v>
      </c>
      <c r="W66" s="127">
        <f t="shared" si="34"/>
        <v>0.30000000000000004</v>
      </c>
    </row>
    <row r="67" spans="1:23" ht="12.75">
      <c r="A67" s="130" t="s">
        <v>10</v>
      </c>
      <c r="B67" s="131">
        <v>50.8</v>
      </c>
      <c r="C67" s="125">
        <v>54.7</v>
      </c>
      <c r="D67" s="125">
        <v>48</v>
      </c>
      <c r="E67" s="125">
        <v>57.3</v>
      </c>
      <c r="F67" s="125">
        <v>50.7</v>
      </c>
      <c r="G67" s="129">
        <v>58</v>
      </c>
      <c r="H67" s="125"/>
      <c r="I67" s="130" t="s">
        <v>10</v>
      </c>
      <c r="J67" s="131">
        <v>60.9</v>
      </c>
      <c r="K67" s="125">
        <v>69.1</v>
      </c>
      <c r="L67" s="125">
        <v>64.8</v>
      </c>
      <c r="M67" s="125">
        <v>70</v>
      </c>
      <c r="N67" s="125">
        <v>61.2</v>
      </c>
      <c r="O67" s="129">
        <v>71.4</v>
      </c>
      <c r="Q67" s="128" t="str">
        <f t="shared" si="28"/>
        <v>D/%</v>
      </c>
      <c r="R67" s="127">
        <f t="shared" si="35"/>
        <v>-10.100000000000001</v>
      </c>
      <c r="S67" s="127">
        <f t="shared" si="30"/>
        <v>-14.399999999999991</v>
      </c>
      <c r="T67" s="127">
        <f t="shared" si="31"/>
        <v>-16.799999999999997</v>
      </c>
      <c r="U67" s="127">
        <f t="shared" si="32"/>
        <v>-12.700000000000003</v>
      </c>
      <c r="V67" s="127">
        <f t="shared" si="33"/>
        <v>-10.5</v>
      </c>
      <c r="W67" s="127">
        <f t="shared" si="34"/>
        <v>-13.400000000000006</v>
      </c>
    </row>
    <row r="68" spans="1:23" ht="12.75">
      <c r="A68" s="130" t="s">
        <v>11</v>
      </c>
      <c r="B68" s="131">
        <v>3</v>
      </c>
      <c r="C68" s="125">
        <v>3.7</v>
      </c>
      <c r="D68" s="125">
        <v>2.7</v>
      </c>
      <c r="E68" s="125">
        <v>4.1</v>
      </c>
      <c r="F68" s="125">
        <v>3.1</v>
      </c>
      <c r="G68" s="129">
        <v>4.2</v>
      </c>
      <c r="H68" s="125"/>
      <c r="I68" s="130" t="s">
        <v>11</v>
      </c>
      <c r="J68" s="131">
        <v>5.4</v>
      </c>
      <c r="K68" s="125">
        <v>6.8</v>
      </c>
      <c r="L68" s="125">
        <v>6.1</v>
      </c>
      <c r="M68" s="125">
        <v>7.1</v>
      </c>
      <c r="N68" s="125">
        <v>5.4</v>
      </c>
      <c r="O68" s="129">
        <v>6.7</v>
      </c>
      <c r="Q68" s="128" t="str">
        <f t="shared" si="28"/>
        <v>C/dB</v>
      </c>
      <c r="R68" s="127">
        <f t="shared" si="35"/>
        <v>-2.4000000000000004</v>
      </c>
      <c r="S68" s="127">
        <f t="shared" si="30"/>
        <v>-3.0999999999999996</v>
      </c>
      <c r="T68" s="127">
        <f t="shared" si="31"/>
        <v>-3.3999999999999995</v>
      </c>
      <c r="U68" s="127">
        <f t="shared" si="32"/>
        <v>-3</v>
      </c>
      <c r="V68" s="127">
        <f t="shared" si="33"/>
        <v>-2.3000000000000003</v>
      </c>
      <c r="W68" s="127">
        <f t="shared" si="34"/>
        <v>-2.5</v>
      </c>
    </row>
    <row r="69" spans="1:23" ht="12.75">
      <c r="A69" s="130" t="s">
        <v>12</v>
      </c>
      <c r="B69" s="131">
        <v>71.7</v>
      </c>
      <c r="C69" s="125">
        <v>66.2</v>
      </c>
      <c r="D69" s="125">
        <v>75.3</v>
      </c>
      <c r="E69" s="125">
        <v>62.8</v>
      </c>
      <c r="F69" s="125">
        <v>71.6</v>
      </c>
      <c r="G69" s="129">
        <v>62.4</v>
      </c>
      <c r="H69" s="125"/>
      <c r="I69" s="130" t="s">
        <v>12</v>
      </c>
      <c r="J69" s="131">
        <v>50.4</v>
      </c>
      <c r="K69" s="125">
        <v>43.1</v>
      </c>
      <c r="L69" s="125">
        <v>49.3</v>
      </c>
      <c r="M69" s="125">
        <v>41.8</v>
      </c>
      <c r="N69" s="125">
        <v>51.1</v>
      </c>
      <c r="O69" s="129">
        <v>42.7</v>
      </c>
      <c r="Q69" s="128" t="str">
        <f t="shared" si="28"/>
        <v>TS/ms</v>
      </c>
      <c r="R69" s="127">
        <f t="shared" si="35"/>
        <v>21.300000000000004</v>
      </c>
      <c r="S69" s="127">
        <f t="shared" si="30"/>
        <v>23.1</v>
      </c>
      <c r="T69" s="127">
        <f t="shared" si="31"/>
        <v>26</v>
      </c>
      <c r="U69" s="127">
        <f t="shared" si="32"/>
        <v>21</v>
      </c>
      <c r="V69" s="127">
        <f t="shared" si="33"/>
        <v>20.499999999999993</v>
      </c>
      <c r="W69" s="127">
        <f t="shared" si="34"/>
        <v>19.699999999999996</v>
      </c>
    </row>
    <row r="70" spans="1:23" ht="12.75">
      <c r="A70" s="130" t="s">
        <v>13</v>
      </c>
      <c r="B70" s="131">
        <v>19</v>
      </c>
      <c r="C70" s="125">
        <v>20.3</v>
      </c>
      <c r="D70" s="125">
        <v>19</v>
      </c>
      <c r="E70" s="125">
        <v>19.9</v>
      </c>
      <c r="F70" s="125">
        <v>19.3</v>
      </c>
      <c r="G70" s="129">
        <v>20.4</v>
      </c>
      <c r="H70" s="125"/>
      <c r="I70" s="130" t="s">
        <v>13</v>
      </c>
      <c r="J70" s="131">
        <v>17.2</v>
      </c>
      <c r="K70" s="125">
        <v>19.1</v>
      </c>
      <c r="L70" s="125">
        <v>18.1</v>
      </c>
      <c r="M70" s="125">
        <v>18.6</v>
      </c>
      <c r="N70" s="125">
        <v>17.9</v>
      </c>
      <c r="O70" s="129">
        <v>19.4</v>
      </c>
      <c r="Q70" s="128" t="str">
        <f t="shared" si="28"/>
        <v>G/dB</v>
      </c>
      <c r="R70" s="127">
        <f t="shared" si="35"/>
        <v>1.8000000000000007</v>
      </c>
      <c r="S70" s="127">
        <f t="shared" si="30"/>
        <v>1.1999999999999993</v>
      </c>
      <c r="T70" s="127">
        <f t="shared" si="31"/>
        <v>0.8999999999999986</v>
      </c>
      <c r="U70" s="127">
        <f t="shared" si="32"/>
        <v>1.2999999999999972</v>
      </c>
      <c r="V70" s="127">
        <f t="shared" si="33"/>
        <v>1.4000000000000021</v>
      </c>
      <c r="W70" s="127">
        <f t="shared" si="34"/>
        <v>1</v>
      </c>
    </row>
    <row r="71" spans="1:23" ht="12.75">
      <c r="A71" s="130" t="s">
        <v>14</v>
      </c>
      <c r="B71" s="131">
        <v>27.2</v>
      </c>
      <c r="C71" s="125">
        <v>24.1</v>
      </c>
      <c r="D71" s="125">
        <v>26.7</v>
      </c>
      <c r="E71" s="125">
        <v>23</v>
      </c>
      <c r="F71" s="125">
        <v>25.1</v>
      </c>
      <c r="G71" s="129">
        <v>25.4</v>
      </c>
      <c r="H71" s="125"/>
      <c r="I71" s="130" t="s">
        <v>14</v>
      </c>
      <c r="J71" s="131">
        <v>20.4</v>
      </c>
      <c r="K71" s="125">
        <v>21</v>
      </c>
      <c r="L71" s="125">
        <v>25.5</v>
      </c>
      <c r="M71" s="125">
        <v>19.1</v>
      </c>
      <c r="N71" s="125">
        <v>22.9</v>
      </c>
      <c r="O71" s="129">
        <v>22.1</v>
      </c>
      <c r="Q71" s="128" t="str">
        <f t="shared" si="28"/>
        <v>LF/%</v>
      </c>
      <c r="R71" s="127">
        <f t="shared" si="35"/>
        <v>6.800000000000001</v>
      </c>
      <c r="S71" s="127">
        <f t="shared" si="30"/>
        <v>3.1000000000000014</v>
      </c>
      <c r="T71" s="127">
        <f t="shared" si="31"/>
        <v>1.1999999999999993</v>
      </c>
      <c r="U71" s="127">
        <f t="shared" si="32"/>
        <v>3.8999999999999986</v>
      </c>
      <c r="V71" s="127">
        <f t="shared" si="33"/>
        <v>2.200000000000003</v>
      </c>
      <c r="W71" s="127">
        <f t="shared" si="34"/>
        <v>3.299999999999997</v>
      </c>
    </row>
    <row r="72" spans="1:23" ht="12.75">
      <c r="A72" s="130" t="s">
        <v>15</v>
      </c>
      <c r="B72" s="131">
        <v>38.9</v>
      </c>
      <c r="C72" s="125">
        <v>34.6</v>
      </c>
      <c r="D72" s="125">
        <v>40.8</v>
      </c>
      <c r="E72" s="125">
        <v>33.6</v>
      </c>
      <c r="F72" s="125">
        <v>37.6</v>
      </c>
      <c r="G72" s="129">
        <v>36.8</v>
      </c>
      <c r="H72" s="125"/>
      <c r="I72" s="130" t="s">
        <v>15</v>
      </c>
      <c r="J72" s="131">
        <v>30.9</v>
      </c>
      <c r="K72" s="125">
        <v>31.2</v>
      </c>
      <c r="L72" s="125">
        <v>39.4</v>
      </c>
      <c r="M72" s="125">
        <v>29.2</v>
      </c>
      <c r="N72" s="125">
        <v>35.1</v>
      </c>
      <c r="O72" s="129">
        <v>33.2</v>
      </c>
      <c r="Q72" s="128" t="str">
        <f t="shared" si="28"/>
        <v>LFC/%</v>
      </c>
      <c r="R72" s="127">
        <f t="shared" si="35"/>
        <v>8</v>
      </c>
      <c r="S72" s="127">
        <f t="shared" si="30"/>
        <v>3.400000000000002</v>
      </c>
      <c r="T72" s="127">
        <f t="shared" si="31"/>
        <v>1.3999999999999986</v>
      </c>
      <c r="U72" s="127">
        <f t="shared" si="32"/>
        <v>4.400000000000002</v>
      </c>
      <c r="V72" s="127">
        <f t="shared" si="33"/>
        <v>2.5</v>
      </c>
      <c r="W72" s="127">
        <f t="shared" si="34"/>
        <v>3.5999999999999943</v>
      </c>
    </row>
    <row r="73" spans="1:23" ht="12.75">
      <c r="A73" s="134" t="s">
        <v>16</v>
      </c>
      <c r="B73" s="135">
        <v>0.37</v>
      </c>
      <c r="C73" s="132">
        <v>0.41</v>
      </c>
      <c r="D73" s="132">
        <v>0.24</v>
      </c>
      <c r="E73" s="132">
        <v>0.48</v>
      </c>
      <c r="F73" s="132">
        <v>0.38</v>
      </c>
      <c r="G73" s="133">
        <v>0.41</v>
      </c>
      <c r="H73" s="125"/>
      <c r="I73" s="134" t="s">
        <v>16</v>
      </c>
      <c r="J73" s="135">
        <v>0.52</v>
      </c>
      <c r="K73" s="132">
        <v>0.42</v>
      </c>
      <c r="L73" s="132">
        <v>0.37</v>
      </c>
      <c r="M73" s="132">
        <v>0.44</v>
      </c>
      <c r="N73" s="132">
        <v>0.42</v>
      </c>
      <c r="O73" s="133">
        <v>0.52</v>
      </c>
      <c r="Q73" s="128" t="str">
        <f t="shared" si="28"/>
        <v>IACC</v>
      </c>
      <c r="R73" s="127">
        <f t="shared" si="35"/>
        <v>-0.15000000000000002</v>
      </c>
      <c r="S73" s="127">
        <f t="shared" si="30"/>
        <v>-0.010000000000000009</v>
      </c>
      <c r="T73" s="127">
        <f t="shared" si="31"/>
        <v>-0.13</v>
      </c>
      <c r="U73" s="127">
        <f t="shared" si="32"/>
        <v>0.03999999999999998</v>
      </c>
      <c r="V73" s="127">
        <f t="shared" si="33"/>
        <v>-0.03999999999999998</v>
      </c>
      <c r="W73" s="127">
        <f t="shared" si="34"/>
        <v>-0.11000000000000004</v>
      </c>
    </row>
    <row r="74" spans="5:15" ht="12.75">
      <c r="E74" s="136"/>
      <c r="F74" s="136"/>
      <c r="G74" s="136"/>
      <c r="H74" s="136"/>
      <c r="M74" s="136"/>
      <c r="N74" s="136"/>
      <c r="O74" s="136"/>
    </row>
    <row r="75" spans="1:18" ht="12.75">
      <c r="A75" s="155" t="s">
        <v>21</v>
      </c>
      <c r="B75" s="156" t="s">
        <v>1</v>
      </c>
      <c r="E75" s="136"/>
      <c r="F75" s="136"/>
      <c r="G75" s="136"/>
      <c r="H75" s="136"/>
      <c r="I75" s="155" t="s">
        <v>21</v>
      </c>
      <c r="J75" s="156" t="s">
        <v>1</v>
      </c>
      <c r="M75" s="136"/>
      <c r="N75" s="136"/>
      <c r="O75" s="136"/>
      <c r="Q75" s="128" t="str">
        <f>+A75</f>
        <v>4000 Hz</v>
      </c>
      <c r="R75" s="128" t="str">
        <f>+B75</f>
        <v>octave</v>
      </c>
    </row>
    <row r="76" spans="1:23" ht="12.75">
      <c r="A76" s="142"/>
      <c r="B76" s="140" t="s">
        <v>2</v>
      </c>
      <c r="C76" s="140" t="s">
        <v>3</v>
      </c>
      <c r="D76" s="139" t="s">
        <v>4</v>
      </c>
      <c r="E76" s="139" t="s">
        <v>5</v>
      </c>
      <c r="F76" s="140" t="s">
        <v>6</v>
      </c>
      <c r="G76" s="139" t="s">
        <v>7</v>
      </c>
      <c r="H76" s="141"/>
      <c r="I76" s="142"/>
      <c r="J76" s="140" t="s">
        <v>2</v>
      </c>
      <c r="K76" s="140" t="s">
        <v>3</v>
      </c>
      <c r="L76" s="139" t="s">
        <v>4</v>
      </c>
      <c r="M76" s="139" t="s">
        <v>5</v>
      </c>
      <c r="N76" s="140" t="s">
        <v>6</v>
      </c>
      <c r="O76" s="139" t="s">
        <v>7</v>
      </c>
      <c r="Q76" s="128">
        <f aca="true" t="shared" si="36" ref="Q76:Q85">+A76</f>
        <v>0</v>
      </c>
      <c r="R76" s="128" t="str">
        <f aca="true" t="shared" si="37" ref="R76:W76">+B76</f>
        <v>S1R1</v>
      </c>
      <c r="S76" s="128" t="str">
        <f t="shared" si="37"/>
        <v>S1R2</v>
      </c>
      <c r="T76" s="128" t="str">
        <f t="shared" si="37"/>
        <v>S1R3</v>
      </c>
      <c r="U76" s="128" t="str">
        <f t="shared" si="37"/>
        <v>S2R1</v>
      </c>
      <c r="V76" s="128" t="str">
        <f t="shared" si="37"/>
        <v>S2R2</v>
      </c>
      <c r="W76" s="128" t="str">
        <f t="shared" si="37"/>
        <v>S2R3</v>
      </c>
    </row>
    <row r="77" spans="1:23" ht="12.75">
      <c r="A77" s="130" t="s">
        <v>8</v>
      </c>
      <c r="B77" s="145">
        <v>0.92</v>
      </c>
      <c r="C77" s="143">
        <v>0.9</v>
      </c>
      <c r="D77" s="143">
        <v>0.91</v>
      </c>
      <c r="E77" s="125">
        <v>0.91</v>
      </c>
      <c r="F77" s="143">
        <v>0.9</v>
      </c>
      <c r="G77" s="144">
        <v>0.91</v>
      </c>
      <c r="H77" s="125"/>
      <c r="I77" s="130" t="s">
        <v>8</v>
      </c>
      <c r="J77" s="145">
        <v>0.63</v>
      </c>
      <c r="K77" s="143">
        <v>0.64</v>
      </c>
      <c r="L77" s="143">
        <v>0.63</v>
      </c>
      <c r="M77" s="125">
        <v>0.63</v>
      </c>
      <c r="N77" s="143">
        <v>0.64</v>
      </c>
      <c r="O77" s="144">
        <v>0.64</v>
      </c>
      <c r="Q77" s="128" t="str">
        <f t="shared" si="36"/>
        <v>T30/s</v>
      </c>
      <c r="R77" s="127">
        <f>+B77-J77</f>
        <v>0.29000000000000004</v>
      </c>
      <c r="S77" s="127">
        <f aca="true" t="shared" si="38" ref="S77:S85">+C77-K77</f>
        <v>0.26</v>
      </c>
      <c r="T77" s="127">
        <f aca="true" t="shared" si="39" ref="T77:T85">+D77-L77</f>
        <v>0.28</v>
      </c>
      <c r="U77" s="127">
        <f aca="true" t="shared" si="40" ref="U77:U85">+E77-M77</f>
        <v>0.28</v>
      </c>
      <c r="V77" s="127">
        <f aca="true" t="shared" si="41" ref="V77:V85">+F77-N77</f>
        <v>0.26</v>
      </c>
      <c r="W77" s="127">
        <f aca="true" t="shared" si="42" ref="W77:W85">+G77-O77</f>
        <v>0.27</v>
      </c>
    </row>
    <row r="78" spans="1:23" ht="12.75">
      <c r="A78" s="130" t="s">
        <v>9</v>
      </c>
      <c r="B78" s="131">
        <v>0.93</v>
      </c>
      <c r="C78" s="125">
        <v>0.91</v>
      </c>
      <c r="D78" s="125">
        <v>0.91</v>
      </c>
      <c r="E78" s="125">
        <v>0.91</v>
      </c>
      <c r="F78" s="125">
        <v>0.92</v>
      </c>
      <c r="G78" s="129">
        <v>0.88</v>
      </c>
      <c r="H78" s="125"/>
      <c r="I78" s="130" t="s">
        <v>9</v>
      </c>
      <c r="J78" s="131">
        <v>0.65</v>
      </c>
      <c r="K78" s="125">
        <v>0.61</v>
      </c>
      <c r="L78" s="125">
        <v>0.63</v>
      </c>
      <c r="M78" s="125">
        <v>0.65</v>
      </c>
      <c r="N78" s="125">
        <v>0.63</v>
      </c>
      <c r="O78" s="129">
        <v>0.6</v>
      </c>
      <c r="Q78" s="128" t="str">
        <f t="shared" si="36"/>
        <v>EDT/s</v>
      </c>
      <c r="R78" s="127">
        <f aca="true" t="shared" si="43" ref="R78:R85">+B78-J78</f>
        <v>0.28</v>
      </c>
      <c r="S78" s="127">
        <f t="shared" si="38"/>
        <v>0.30000000000000004</v>
      </c>
      <c r="T78" s="127">
        <f t="shared" si="39"/>
        <v>0.28</v>
      </c>
      <c r="U78" s="127">
        <f t="shared" si="40"/>
        <v>0.26</v>
      </c>
      <c r="V78" s="127">
        <f t="shared" si="41"/>
        <v>0.29000000000000004</v>
      </c>
      <c r="W78" s="127">
        <f t="shared" si="42"/>
        <v>0.28</v>
      </c>
    </row>
    <row r="79" spans="1:23" ht="12.75">
      <c r="A79" s="130" t="s">
        <v>10</v>
      </c>
      <c r="B79" s="131">
        <v>55</v>
      </c>
      <c r="C79" s="125">
        <v>61.3</v>
      </c>
      <c r="D79" s="125">
        <v>55</v>
      </c>
      <c r="E79" s="125">
        <v>60.9</v>
      </c>
      <c r="F79" s="125">
        <v>55.6</v>
      </c>
      <c r="G79" s="129">
        <v>64.2</v>
      </c>
      <c r="H79" s="125"/>
      <c r="I79" s="130" t="s">
        <v>10</v>
      </c>
      <c r="J79" s="131">
        <v>70.8</v>
      </c>
      <c r="K79" s="125">
        <v>76</v>
      </c>
      <c r="L79" s="125">
        <v>69.1</v>
      </c>
      <c r="M79" s="125">
        <v>74.3</v>
      </c>
      <c r="N79" s="125">
        <v>70.7</v>
      </c>
      <c r="O79" s="129">
        <v>73.7</v>
      </c>
      <c r="Q79" s="128" t="str">
        <f t="shared" si="36"/>
        <v>D/%</v>
      </c>
      <c r="R79" s="127">
        <f t="shared" si="43"/>
        <v>-15.799999999999997</v>
      </c>
      <c r="S79" s="127">
        <f t="shared" si="38"/>
        <v>-14.700000000000003</v>
      </c>
      <c r="T79" s="127">
        <f t="shared" si="39"/>
        <v>-14.099999999999994</v>
      </c>
      <c r="U79" s="127">
        <f t="shared" si="40"/>
        <v>-13.399999999999999</v>
      </c>
      <c r="V79" s="127">
        <f t="shared" si="41"/>
        <v>-15.100000000000001</v>
      </c>
      <c r="W79" s="127">
        <f t="shared" si="42"/>
        <v>-9.5</v>
      </c>
    </row>
    <row r="80" spans="1:23" ht="12.75">
      <c r="A80" s="130" t="s">
        <v>11</v>
      </c>
      <c r="B80" s="131">
        <v>4.1</v>
      </c>
      <c r="C80" s="125">
        <v>4.8</v>
      </c>
      <c r="D80" s="125">
        <v>3.9</v>
      </c>
      <c r="E80" s="125">
        <v>5</v>
      </c>
      <c r="F80" s="125">
        <v>4.1</v>
      </c>
      <c r="G80" s="129">
        <v>5.4</v>
      </c>
      <c r="H80" s="125"/>
      <c r="I80" s="130" t="s">
        <v>11</v>
      </c>
      <c r="J80" s="131">
        <v>7.3</v>
      </c>
      <c r="K80" s="125">
        <v>8.3</v>
      </c>
      <c r="L80" s="125">
        <v>7.1</v>
      </c>
      <c r="M80" s="125">
        <v>7.9</v>
      </c>
      <c r="N80" s="125">
        <v>7.3</v>
      </c>
      <c r="O80" s="129">
        <v>8.3</v>
      </c>
      <c r="Q80" s="128" t="str">
        <f t="shared" si="36"/>
        <v>C/dB</v>
      </c>
      <c r="R80" s="127">
        <f t="shared" si="43"/>
        <v>-3.2</v>
      </c>
      <c r="S80" s="127">
        <f t="shared" si="38"/>
        <v>-3.500000000000001</v>
      </c>
      <c r="T80" s="127">
        <f t="shared" si="39"/>
        <v>-3.1999999999999997</v>
      </c>
      <c r="U80" s="127">
        <f t="shared" si="40"/>
        <v>-2.9000000000000004</v>
      </c>
      <c r="V80" s="127">
        <f t="shared" si="41"/>
        <v>-3.2</v>
      </c>
      <c r="W80" s="127">
        <f t="shared" si="42"/>
        <v>-2.9000000000000004</v>
      </c>
    </row>
    <row r="81" spans="1:23" ht="12.75">
      <c r="A81" s="130" t="s">
        <v>12</v>
      </c>
      <c r="B81" s="131">
        <v>62.2</v>
      </c>
      <c r="C81" s="125">
        <v>55.6</v>
      </c>
      <c r="D81" s="125">
        <v>63.6</v>
      </c>
      <c r="E81" s="125">
        <v>53.4</v>
      </c>
      <c r="F81" s="125">
        <v>62</v>
      </c>
      <c r="G81" s="129">
        <v>52.5</v>
      </c>
      <c r="H81" s="125"/>
      <c r="I81" s="130" t="s">
        <v>12</v>
      </c>
      <c r="J81" s="131">
        <v>40.2</v>
      </c>
      <c r="K81" s="125">
        <v>34.7</v>
      </c>
      <c r="L81" s="125">
        <v>42.9</v>
      </c>
      <c r="M81" s="125">
        <v>35.1</v>
      </c>
      <c r="N81" s="125">
        <v>41.4</v>
      </c>
      <c r="O81" s="129">
        <v>36.1</v>
      </c>
      <c r="Q81" s="128" t="str">
        <f t="shared" si="36"/>
        <v>TS/ms</v>
      </c>
      <c r="R81" s="127">
        <f t="shared" si="43"/>
        <v>22</v>
      </c>
      <c r="S81" s="127">
        <f t="shared" si="38"/>
        <v>20.9</v>
      </c>
      <c r="T81" s="127">
        <f t="shared" si="39"/>
        <v>20.700000000000003</v>
      </c>
      <c r="U81" s="127">
        <f t="shared" si="40"/>
        <v>18.299999999999997</v>
      </c>
      <c r="V81" s="127">
        <f t="shared" si="41"/>
        <v>20.6</v>
      </c>
      <c r="W81" s="127">
        <f t="shared" si="42"/>
        <v>16.4</v>
      </c>
    </row>
    <row r="82" spans="1:23" ht="12.75">
      <c r="A82" s="130" t="s">
        <v>13</v>
      </c>
      <c r="B82" s="131">
        <v>18.3</v>
      </c>
      <c r="C82" s="125">
        <v>19.8</v>
      </c>
      <c r="D82" s="125">
        <v>18.5</v>
      </c>
      <c r="E82" s="125">
        <v>19.4</v>
      </c>
      <c r="F82" s="125">
        <v>18.8</v>
      </c>
      <c r="G82" s="129">
        <v>19.9</v>
      </c>
      <c r="H82" s="125"/>
      <c r="I82" s="130" t="s">
        <v>13</v>
      </c>
      <c r="J82" s="131">
        <v>16.9</v>
      </c>
      <c r="K82" s="125">
        <v>18.7</v>
      </c>
      <c r="L82" s="125">
        <v>17.3</v>
      </c>
      <c r="M82" s="125">
        <v>18</v>
      </c>
      <c r="N82" s="125">
        <v>17.5</v>
      </c>
      <c r="O82" s="129">
        <v>18.9</v>
      </c>
      <c r="Q82" s="128" t="str">
        <f t="shared" si="36"/>
        <v>G/dB</v>
      </c>
      <c r="R82" s="127">
        <f t="shared" si="43"/>
        <v>1.4000000000000021</v>
      </c>
      <c r="S82" s="127">
        <f t="shared" si="38"/>
        <v>1.1000000000000014</v>
      </c>
      <c r="T82" s="127">
        <f t="shared" si="39"/>
        <v>1.1999999999999993</v>
      </c>
      <c r="U82" s="127">
        <f t="shared" si="40"/>
        <v>1.3999999999999986</v>
      </c>
      <c r="V82" s="127">
        <f t="shared" si="41"/>
        <v>1.3000000000000007</v>
      </c>
      <c r="W82" s="127">
        <f t="shared" si="42"/>
        <v>1</v>
      </c>
    </row>
    <row r="83" spans="1:23" ht="12.75">
      <c r="A83" s="130" t="s">
        <v>14</v>
      </c>
      <c r="B83" s="131">
        <v>28</v>
      </c>
      <c r="C83" s="125">
        <v>22.6</v>
      </c>
      <c r="D83" s="125">
        <v>25.4</v>
      </c>
      <c r="E83" s="125">
        <v>22.7</v>
      </c>
      <c r="F83" s="125">
        <v>24.6</v>
      </c>
      <c r="G83" s="129">
        <v>24.4</v>
      </c>
      <c r="H83" s="125"/>
      <c r="I83" s="130" t="s">
        <v>14</v>
      </c>
      <c r="J83" s="131">
        <v>20.9</v>
      </c>
      <c r="K83" s="125">
        <v>20.1</v>
      </c>
      <c r="L83" s="125">
        <v>26.5</v>
      </c>
      <c r="M83" s="125">
        <v>17.4</v>
      </c>
      <c r="N83" s="125">
        <v>22.7</v>
      </c>
      <c r="O83" s="129">
        <v>22.1</v>
      </c>
      <c r="Q83" s="128" t="str">
        <f t="shared" si="36"/>
        <v>LF/%</v>
      </c>
      <c r="R83" s="127">
        <f t="shared" si="43"/>
        <v>7.100000000000001</v>
      </c>
      <c r="S83" s="127">
        <f t="shared" si="38"/>
        <v>2.5</v>
      </c>
      <c r="T83" s="127">
        <f t="shared" si="39"/>
        <v>-1.1000000000000014</v>
      </c>
      <c r="U83" s="127">
        <f t="shared" si="40"/>
        <v>5.300000000000001</v>
      </c>
      <c r="V83" s="127">
        <f t="shared" si="41"/>
        <v>1.9000000000000021</v>
      </c>
      <c r="W83" s="127">
        <f t="shared" si="42"/>
        <v>2.299999999999997</v>
      </c>
    </row>
    <row r="84" spans="1:23" ht="12.75">
      <c r="A84" s="130" t="s">
        <v>15</v>
      </c>
      <c r="B84" s="131">
        <v>38.9</v>
      </c>
      <c r="C84" s="125">
        <v>32.8</v>
      </c>
      <c r="D84" s="125">
        <v>39.1</v>
      </c>
      <c r="E84" s="125">
        <v>32.8</v>
      </c>
      <c r="F84" s="125">
        <v>37.4</v>
      </c>
      <c r="G84" s="129">
        <v>35.8</v>
      </c>
      <c r="H84" s="125"/>
      <c r="I84" s="130" t="s">
        <v>15</v>
      </c>
      <c r="J84" s="131">
        <v>31.1</v>
      </c>
      <c r="K84" s="125">
        <v>30.1</v>
      </c>
      <c r="L84" s="125">
        <v>40.2</v>
      </c>
      <c r="M84" s="125">
        <v>26</v>
      </c>
      <c r="N84" s="125">
        <v>35.1</v>
      </c>
      <c r="O84" s="129">
        <v>32.6</v>
      </c>
      <c r="Q84" s="128" t="str">
        <f t="shared" si="36"/>
        <v>LFC/%</v>
      </c>
      <c r="R84" s="127">
        <f t="shared" si="43"/>
        <v>7.799999999999997</v>
      </c>
      <c r="S84" s="127">
        <f t="shared" si="38"/>
        <v>2.6999999999999957</v>
      </c>
      <c r="T84" s="127">
        <f t="shared" si="39"/>
        <v>-1.1000000000000014</v>
      </c>
      <c r="U84" s="127">
        <f t="shared" si="40"/>
        <v>6.799999999999997</v>
      </c>
      <c r="V84" s="127">
        <f t="shared" si="41"/>
        <v>2.299999999999997</v>
      </c>
      <c r="W84" s="127">
        <f t="shared" si="42"/>
        <v>3.1999999999999957</v>
      </c>
    </row>
    <row r="85" spans="1:23" ht="12.75">
      <c r="A85" s="134" t="s">
        <v>16</v>
      </c>
      <c r="B85" s="135">
        <v>0.38</v>
      </c>
      <c r="C85" s="132">
        <v>0.41</v>
      </c>
      <c r="D85" s="132">
        <v>0.24</v>
      </c>
      <c r="E85" s="132">
        <v>0.42</v>
      </c>
      <c r="F85" s="132">
        <v>0.37</v>
      </c>
      <c r="G85" s="133">
        <v>0.48</v>
      </c>
      <c r="H85" s="125"/>
      <c r="I85" s="134" t="s">
        <v>16</v>
      </c>
      <c r="J85" s="135">
        <v>0.41</v>
      </c>
      <c r="K85" s="132">
        <v>0.42</v>
      </c>
      <c r="L85" s="132">
        <v>0.29</v>
      </c>
      <c r="M85" s="132">
        <v>0.46</v>
      </c>
      <c r="N85" s="132">
        <v>0.42</v>
      </c>
      <c r="O85" s="133">
        <v>0.5</v>
      </c>
      <c r="Q85" s="128" t="str">
        <f t="shared" si="36"/>
        <v>IACC</v>
      </c>
      <c r="R85" s="127">
        <f t="shared" si="43"/>
        <v>-0.02999999999999997</v>
      </c>
      <c r="S85" s="127">
        <f t="shared" si="38"/>
        <v>-0.010000000000000009</v>
      </c>
      <c r="T85" s="127">
        <f t="shared" si="39"/>
        <v>-0.04999999999999999</v>
      </c>
      <c r="U85" s="127">
        <f t="shared" si="40"/>
        <v>-0.040000000000000036</v>
      </c>
      <c r="V85" s="127">
        <f t="shared" si="41"/>
        <v>-0.04999999999999999</v>
      </c>
      <c r="W85" s="127">
        <f t="shared" si="42"/>
        <v>-0.020000000000000018</v>
      </c>
    </row>
    <row r="86" spans="5:15" ht="12.75">
      <c r="E86" s="136"/>
      <c r="F86" s="136"/>
      <c r="G86" s="136"/>
      <c r="H86" s="136"/>
      <c r="M86" s="136"/>
      <c r="N86" s="136"/>
      <c r="O86" s="136"/>
    </row>
    <row r="87" spans="5:15" ht="12.75">
      <c r="E87" s="136"/>
      <c r="F87" s="136"/>
      <c r="G87" s="136"/>
      <c r="H87" s="136"/>
      <c r="M87" s="136"/>
      <c r="N87" s="136"/>
      <c r="O87" s="136"/>
    </row>
    <row r="88" spans="1:15" ht="12.75">
      <c r="A88" s="146"/>
      <c r="E88" s="136"/>
      <c r="F88" s="136"/>
      <c r="G88" s="136"/>
      <c r="H88" s="136"/>
      <c r="I88" s="146"/>
      <c r="M88" s="136"/>
      <c r="N88" s="136"/>
      <c r="O88" s="136"/>
    </row>
    <row r="89" spans="5:15" ht="12.75">
      <c r="E89" s="136"/>
      <c r="F89" s="136"/>
      <c r="G89" s="136"/>
      <c r="H89" s="136"/>
      <c r="M89" s="136"/>
      <c r="N89" s="136"/>
      <c r="O89" s="136"/>
    </row>
    <row r="90" spans="5:15" ht="12.75">
      <c r="E90" s="136"/>
      <c r="F90" s="136"/>
      <c r="G90" s="136"/>
      <c r="H90" s="136"/>
      <c r="M90" s="136"/>
      <c r="N90" s="136"/>
      <c r="O90" s="136"/>
    </row>
    <row r="91" spans="5:15" ht="12.75">
      <c r="E91" s="136"/>
      <c r="F91" s="136"/>
      <c r="G91" s="136"/>
      <c r="H91" s="136"/>
      <c r="M91" s="136"/>
      <c r="N91" s="136"/>
      <c r="O91" s="136"/>
    </row>
    <row r="92" spans="5:15" ht="12.75">
      <c r="E92" s="136"/>
      <c r="F92" s="136"/>
      <c r="G92" s="136"/>
      <c r="H92" s="136"/>
      <c r="M92" s="136"/>
      <c r="N92" s="136"/>
      <c r="O92" s="136"/>
    </row>
    <row r="93" spans="5:15" ht="12.75">
      <c r="E93" s="136"/>
      <c r="F93" s="136"/>
      <c r="G93" s="136"/>
      <c r="H93" s="136"/>
      <c r="M93" s="136"/>
      <c r="N93" s="136"/>
      <c r="O93" s="136"/>
    </row>
  </sheetData>
  <printOptions/>
  <pageMargins left="0.75" right="0.23" top="1" bottom="1" header="0.4921259845" footer="0.4921259845"/>
  <pageSetup fitToHeight="1" fitToWidth="1" horizontalDpi="300" verticalDpi="300" orientation="portrait" paperSize="9" scale="50" r:id="rId3"/>
  <headerFooter alignWithMargins="0">
    <oddHeader>&amp;C&amp;A</oddHeader>
    <oddFooter>&amp;LPTB 1.401&amp;CSeite &amp;P&amp;R&amp;D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W93"/>
  <sheetViews>
    <sheetView zoomScale="75" zoomScaleNormal="75" workbookViewId="0" topLeftCell="A1">
      <selection activeCell="F37" sqref="F37"/>
    </sheetView>
  </sheetViews>
  <sheetFormatPr defaultColWidth="11.5546875" defaultRowHeight="15"/>
  <cols>
    <col min="1" max="1" width="7.77734375" style="128" customWidth="1"/>
    <col min="2" max="16" width="6.77734375" style="128" customWidth="1"/>
    <col min="17" max="17" width="11.5546875" style="128" customWidth="1" collapsed="1"/>
    <col min="18" max="16384" width="11.5546875" style="128" customWidth="1"/>
  </cols>
  <sheetData>
    <row r="1" spans="1:10" ht="13.5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2" ht="13.5" thickBot="1">
      <c r="A2" s="3"/>
      <c r="B2" s="4"/>
    </row>
    <row r="5" spans="1:7" ht="12.75">
      <c r="A5" s="150"/>
      <c r="B5" s="151"/>
      <c r="C5" s="151"/>
      <c r="D5" s="152"/>
      <c r="G5" s="150"/>
    </row>
    <row r="6" spans="1:3" ht="12" customHeight="1">
      <c r="A6" s="153"/>
      <c r="B6" s="151"/>
      <c r="C6" s="151"/>
    </row>
    <row r="7" spans="2:3" ht="12.75">
      <c r="B7" s="151"/>
      <c r="C7" s="151"/>
    </row>
    <row r="8" spans="1:3" ht="12.75">
      <c r="A8" s="150"/>
      <c r="B8" s="151"/>
      <c r="C8" s="151"/>
    </row>
    <row r="12" spans="1:2" ht="12.75">
      <c r="A12" s="82"/>
      <c r="B12" s="82"/>
    </row>
    <row r="14" spans="1:17" ht="12.75">
      <c r="A14" s="128" t="s">
        <v>27</v>
      </c>
      <c r="I14" s="128" t="s">
        <v>28</v>
      </c>
      <c r="Q14" s="128" t="s">
        <v>32</v>
      </c>
    </row>
    <row r="15" spans="1:18" ht="12.75">
      <c r="A15" s="155" t="s">
        <v>0</v>
      </c>
      <c r="B15" s="156" t="s">
        <v>1</v>
      </c>
      <c r="E15" s="136"/>
      <c r="F15" s="136"/>
      <c r="G15" s="136"/>
      <c r="H15" s="136"/>
      <c r="I15" s="155" t="s">
        <v>0</v>
      </c>
      <c r="J15" s="156" t="s">
        <v>1</v>
      </c>
      <c r="M15" s="136"/>
      <c r="N15" s="136"/>
      <c r="O15" s="136"/>
      <c r="Q15" s="128" t="str">
        <f>+A15</f>
        <v>125 Hz</v>
      </c>
      <c r="R15" s="128" t="str">
        <f>+B15</f>
        <v>octave</v>
      </c>
    </row>
    <row r="16" spans="1:23" ht="12.75">
      <c r="A16" s="142"/>
      <c r="B16" s="140" t="s">
        <v>2</v>
      </c>
      <c r="C16" s="140" t="s">
        <v>3</v>
      </c>
      <c r="D16" s="139" t="s">
        <v>4</v>
      </c>
      <c r="E16" s="139" t="s">
        <v>5</v>
      </c>
      <c r="F16" s="140" t="s">
        <v>6</v>
      </c>
      <c r="G16" s="139" t="s">
        <v>7</v>
      </c>
      <c r="H16" s="141"/>
      <c r="I16" s="142"/>
      <c r="J16" s="140" t="s">
        <v>2</v>
      </c>
      <c r="K16" s="140" t="s">
        <v>3</v>
      </c>
      <c r="L16" s="139" t="s">
        <v>4</v>
      </c>
      <c r="M16" s="139" t="s">
        <v>5</v>
      </c>
      <c r="N16" s="140" t="s">
        <v>6</v>
      </c>
      <c r="O16" s="139" t="s">
        <v>7</v>
      </c>
      <c r="P16" s="157"/>
      <c r="Q16" s="128">
        <f>+A16</f>
        <v>0</v>
      </c>
      <c r="R16" s="128" t="str">
        <f>+B16</f>
        <v>S1R1</v>
      </c>
      <c r="S16" s="128" t="str">
        <f>+C16</f>
        <v>S1R2</v>
      </c>
      <c r="T16" s="128" t="str">
        <f>+D16</f>
        <v>S1R3</v>
      </c>
      <c r="U16" s="128" t="str">
        <f>+E16</f>
        <v>S2R1</v>
      </c>
      <c r="V16" s="128" t="str">
        <f>+F16</f>
        <v>S2R2</v>
      </c>
      <c r="W16" s="128" t="str">
        <f>+G16</f>
        <v>S2R3</v>
      </c>
    </row>
    <row r="17" spans="1:23" ht="12.75">
      <c r="A17" s="130" t="s">
        <v>8</v>
      </c>
      <c r="B17" s="157">
        <v>0.86</v>
      </c>
      <c r="C17" s="157">
        <v>0.86</v>
      </c>
      <c r="D17" s="157">
        <v>0.86</v>
      </c>
      <c r="E17" s="157">
        <v>0.85</v>
      </c>
      <c r="F17" s="157">
        <v>0.86</v>
      </c>
      <c r="G17" s="157">
        <v>0.86</v>
      </c>
      <c r="H17" s="125"/>
      <c r="I17" s="130" t="s">
        <v>8</v>
      </c>
      <c r="J17" s="157">
        <v>0.81</v>
      </c>
      <c r="K17" s="157">
        <v>0.81</v>
      </c>
      <c r="L17" s="157">
        <v>0.81</v>
      </c>
      <c r="M17" s="157">
        <v>0.8</v>
      </c>
      <c r="N17" s="157">
        <v>0.81</v>
      </c>
      <c r="O17" s="157">
        <v>0.81</v>
      </c>
      <c r="P17" s="158"/>
      <c r="Q17" s="128" t="str">
        <f aca="true" t="shared" si="0" ref="Q17:Q25">+A17</f>
        <v>T30/s</v>
      </c>
      <c r="R17" s="127">
        <f aca="true" t="shared" si="1" ref="R17:W25">+B17-J17</f>
        <v>0.04999999999999993</v>
      </c>
      <c r="S17" s="127">
        <f t="shared" si="1"/>
        <v>0.04999999999999993</v>
      </c>
      <c r="T17" s="127">
        <f t="shared" si="1"/>
        <v>0.04999999999999993</v>
      </c>
      <c r="U17" s="127">
        <f t="shared" si="1"/>
        <v>0.04999999999999993</v>
      </c>
      <c r="V17" s="127">
        <f t="shared" si="1"/>
        <v>0.04999999999999993</v>
      </c>
      <c r="W17" s="127">
        <f t="shared" si="1"/>
        <v>0.04999999999999993</v>
      </c>
    </row>
    <row r="18" spans="1:23" ht="12.75">
      <c r="A18" s="130" t="s">
        <v>9</v>
      </c>
      <c r="B18" s="157">
        <v>0.84</v>
      </c>
      <c r="C18" s="157">
        <v>0.81</v>
      </c>
      <c r="D18" s="157">
        <v>0.86</v>
      </c>
      <c r="E18" s="157">
        <v>0.83</v>
      </c>
      <c r="F18" s="157">
        <v>0.86</v>
      </c>
      <c r="G18" s="157">
        <v>0.82</v>
      </c>
      <c r="H18" s="125"/>
      <c r="I18" s="130" t="s">
        <v>9</v>
      </c>
      <c r="J18" s="157">
        <v>0.79</v>
      </c>
      <c r="K18" s="157">
        <v>0.81</v>
      </c>
      <c r="L18" s="157">
        <v>0.83</v>
      </c>
      <c r="M18" s="157">
        <v>0.78</v>
      </c>
      <c r="N18" s="157">
        <v>0.82</v>
      </c>
      <c r="O18" s="157">
        <v>0.79</v>
      </c>
      <c r="P18" s="158"/>
      <c r="Q18" s="128" t="str">
        <f t="shared" si="0"/>
        <v>EDT/s</v>
      </c>
      <c r="R18" s="127">
        <f t="shared" si="1"/>
        <v>0.04999999999999993</v>
      </c>
      <c r="S18" s="127">
        <f t="shared" si="1"/>
        <v>0</v>
      </c>
      <c r="T18" s="127">
        <f t="shared" si="1"/>
        <v>0.030000000000000027</v>
      </c>
      <c r="U18" s="127">
        <f t="shared" si="1"/>
        <v>0.04999999999999993</v>
      </c>
      <c r="V18" s="127">
        <f t="shared" si="1"/>
        <v>0.040000000000000036</v>
      </c>
      <c r="W18" s="127">
        <f t="shared" si="1"/>
        <v>0.029999999999999916</v>
      </c>
    </row>
    <row r="19" spans="1:23" ht="12.75">
      <c r="A19" s="130" t="s">
        <v>10</v>
      </c>
      <c r="B19" s="157">
        <v>58.8</v>
      </c>
      <c r="C19" s="157">
        <v>65.2</v>
      </c>
      <c r="D19" s="157">
        <v>59.4</v>
      </c>
      <c r="E19" s="157">
        <v>64.1</v>
      </c>
      <c r="F19" s="157">
        <v>61.2</v>
      </c>
      <c r="G19" s="157">
        <v>64.2</v>
      </c>
      <c r="H19" s="125"/>
      <c r="I19" s="130" t="s">
        <v>10</v>
      </c>
      <c r="J19" s="157">
        <v>61.9</v>
      </c>
      <c r="K19" s="157">
        <v>66.5</v>
      </c>
      <c r="L19" s="157">
        <v>56.9</v>
      </c>
      <c r="M19" s="157">
        <v>65.6</v>
      </c>
      <c r="N19" s="157">
        <v>61.4</v>
      </c>
      <c r="O19" s="157">
        <v>66.4</v>
      </c>
      <c r="P19" s="158"/>
      <c r="Q19" s="128" t="str">
        <f t="shared" si="0"/>
        <v>D/%</v>
      </c>
      <c r="R19" s="127">
        <f t="shared" si="1"/>
        <v>-3.1000000000000014</v>
      </c>
      <c r="S19" s="127">
        <f t="shared" si="1"/>
        <v>-1.2999999999999972</v>
      </c>
      <c r="T19" s="127">
        <f t="shared" si="1"/>
        <v>2.5</v>
      </c>
      <c r="U19" s="127">
        <f t="shared" si="1"/>
        <v>-1.5</v>
      </c>
      <c r="V19" s="127">
        <f t="shared" si="1"/>
        <v>-0.19999999999999574</v>
      </c>
      <c r="W19" s="127">
        <f t="shared" si="1"/>
        <v>-2.200000000000003</v>
      </c>
    </row>
    <row r="20" spans="1:23" ht="12.75">
      <c r="A20" s="130" t="s">
        <v>11</v>
      </c>
      <c r="B20" s="157">
        <v>4.7</v>
      </c>
      <c r="C20" s="157">
        <v>5.8</v>
      </c>
      <c r="D20" s="157">
        <v>4.4</v>
      </c>
      <c r="E20" s="157">
        <v>5.7</v>
      </c>
      <c r="F20" s="157">
        <v>5</v>
      </c>
      <c r="G20" s="157">
        <v>5.7</v>
      </c>
      <c r="H20" s="125"/>
      <c r="I20" s="130" t="s">
        <v>11</v>
      </c>
      <c r="J20" s="157">
        <v>5.3</v>
      </c>
      <c r="K20" s="157">
        <v>5.8</v>
      </c>
      <c r="L20" s="157">
        <v>4.6</v>
      </c>
      <c r="M20" s="157">
        <v>5.9</v>
      </c>
      <c r="N20" s="157">
        <v>5.1</v>
      </c>
      <c r="O20" s="157">
        <v>5.9</v>
      </c>
      <c r="P20" s="158"/>
      <c r="Q20" s="128" t="str">
        <f t="shared" si="0"/>
        <v>C/dB</v>
      </c>
      <c r="R20" s="127">
        <f t="shared" si="1"/>
        <v>-0.5999999999999996</v>
      </c>
      <c r="S20" s="127">
        <f t="shared" si="1"/>
        <v>0</v>
      </c>
      <c r="T20" s="127">
        <f t="shared" si="1"/>
        <v>-0.1999999999999993</v>
      </c>
      <c r="U20" s="127">
        <f t="shared" si="1"/>
        <v>-0.20000000000000018</v>
      </c>
      <c r="V20" s="127">
        <f t="shared" si="1"/>
        <v>-0.09999999999999964</v>
      </c>
      <c r="W20" s="127">
        <f t="shared" si="1"/>
        <v>-0.20000000000000018</v>
      </c>
    </row>
    <row r="21" spans="1:23" ht="12.75">
      <c r="A21" s="130" t="s">
        <v>12</v>
      </c>
      <c r="B21" s="157">
        <v>56.3</v>
      </c>
      <c r="C21" s="157">
        <v>48.9</v>
      </c>
      <c r="D21" s="157">
        <v>58.6</v>
      </c>
      <c r="E21" s="157">
        <v>50</v>
      </c>
      <c r="F21" s="157">
        <v>55.9</v>
      </c>
      <c r="G21" s="157">
        <v>50</v>
      </c>
      <c r="H21" s="125"/>
      <c r="I21" s="130" t="s">
        <v>12</v>
      </c>
      <c r="J21" s="157">
        <v>53.1</v>
      </c>
      <c r="K21" s="157">
        <v>47.3</v>
      </c>
      <c r="L21" s="157">
        <v>57.8</v>
      </c>
      <c r="M21" s="157">
        <v>48.2</v>
      </c>
      <c r="N21" s="157">
        <v>54.5</v>
      </c>
      <c r="O21" s="157">
        <v>47.9</v>
      </c>
      <c r="P21" s="158"/>
      <c r="Q21" s="128" t="str">
        <f t="shared" si="0"/>
        <v>TS/ms</v>
      </c>
      <c r="R21" s="127">
        <f t="shared" si="1"/>
        <v>3.1999999999999957</v>
      </c>
      <c r="S21" s="127">
        <f t="shared" si="1"/>
        <v>1.6000000000000014</v>
      </c>
      <c r="T21" s="127">
        <f t="shared" si="1"/>
        <v>0.8000000000000043</v>
      </c>
      <c r="U21" s="127">
        <f t="shared" si="1"/>
        <v>1.7999999999999972</v>
      </c>
      <c r="V21" s="127">
        <f t="shared" si="1"/>
        <v>1.3999999999999986</v>
      </c>
      <c r="W21" s="127">
        <f t="shared" si="1"/>
        <v>2.1000000000000014</v>
      </c>
    </row>
    <row r="22" spans="1:23" ht="12.75">
      <c r="A22" s="130" t="s">
        <v>13</v>
      </c>
      <c r="B22" s="157">
        <v>18.3</v>
      </c>
      <c r="C22" s="157">
        <v>19.6</v>
      </c>
      <c r="D22" s="157">
        <v>18</v>
      </c>
      <c r="E22" s="157">
        <v>19.3</v>
      </c>
      <c r="F22" s="157">
        <v>18.5</v>
      </c>
      <c r="G22" s="157">
        <v>19.5</v>
      </c>
      <c r="H22" s="125"/>
      <c r="I22" s="130" t="s">
        <v>13</v>
      </c>
      <c r="J22" s="157">
        <v>18.3</v>
      </c>
      <c r="K22" s="157">
        <v>19.2</v>
      </c>
      <c r="L22" s="157">
        <v>17.8</v>
      </c>
      <c r="M22" s="157">
        <v>19.3</v>
      </c>
      <c r="N22" s="157">
        <v>18.4</v>
      </c>
      <c r="O22" s="157">
        <v>19.5</v>
      </c>
      <c r="P22" s="158"/>
      <c r="Q22" s="128" t="str">
        <f t="shared" si="0"/>
        <v>G/dB</v>
      </c>
      <c r="R22" s="127">
        <f t="shared" si="1"/>
        <v>0</v>
      </c>
      <c r="S22" s="127">
        <f t="shared" si="1"/>
        <v>0.40000000000000213</v>
      </c>
      <c r="T22" s="127">
        <f t="shared" si="1"/>
        <v>0.1999999999999993</v>
      </c>
      <c r="U22" s="127">
        <f t="shared" si="1"/>
        <v>0</v>
      </c>
      <c r="V22" s="127">
        <f t="shared" si="1"/>
        <v>0.10000000000000142</v>
      </c>
      <c r="W22" s="127">
        <f t="shared" si="1"/>
        <v>0</v>
      </c>
    </row>
    <row r="23" spans="1:23" ht="12.75">
      <c r="A23" s="130" t="s">
        <v>14</v>
      </c>
      <c r="B23" s="157">
        <v>26.5</v>
      </c>
      <c r="C23" s="157">
        <v>23.5</v>
      </c>
      <c r="D23" s="157">
        <v>25.5</v>
      </c>
      <c r="E23" s="157">
        <v>22.6</v>
      </c>
      <c r="F23" s="157">
        <v>25.1</v>
      </c>
      <c r="G23" s="157">
        <v>26.5</v>
      </c>
      <c r="H23" s="125"/>
      <c r="I23" s="130" t="s">
        <v>14</v>
      </c>
      <c r="J23" s="157">
        <v>25.4</v>
      </c>
      <c r="K23" s="157">
        <v>24.3</v>
      </c>
      <c r="L23" s="157">
        <v>26.6</v>
      </c>
      <c r="M23" s="157">
        <v>22.5</v>
      </c>
      <c r="N23" s="157">
        <v>25.6</v>
      </c>
      <c r="O23" s="157">
        <v>25.9</v>
      </c>
      <c r="Q23" s="128" t="str">
        <f t="shared" si="0"/>
        <v>LF/%</v>
      </c>
      <c r="R23" s="127">
        <f t="shared" si="1"/>
        <v>1.1000000000000014</v>
      </c>
      <c r="S23" s="127">
        <f t="shared" si="1"/>
        <v>-0.8000000000000007</v>
      </c>
      <c r="T23" s="127">
        <f t="shared" si="1"/>
        <v>-1.1000000000000014</v>
      </c>
      <c r="U23" s="127">
        <f t="shared" si="1"/>
        <v>0.10000000000000142</v>
      </c>
      <c r="V23" s="127">
        <f t="shared" si="1"/>
        <v>-0.5</v>
      </c>
      <c r="W23" s="127">
        <f t="shared" si="1"/>
        <v>0.6000000000000014</v>
      </c>
    </row>
    <row r="24" spans="1:23" ht="12.75">
      <c r="A24" s="130" t="s">
        <v>15</v>
      </c>
      <c r="B24" s="157">
        <v>37.8</v>
      </c>
      <c r="C24" s="157">
        <v>35.2</v>
      </c>
      <c r="D24" s="157">
        <v>38.9</v>
      </c>
      <c r="E24" s="157">
        <v>33.4</v>
      </c>
      <c r="F24" s="157">
        <v>37.8</v>
      </c>
      <c r="G24" s="157">
        <v>37.7</v>
      </c>
      <c r="H24" s="125"/>
      <c r="I24" s="130" t="s">
        <v>15</v>
      </c>
      <c r="J24" s="157">
        <v>37.4</v>
      </c>
      <c r="K24" s="157">
        <v>35.3</v>
      </c>
      <c r="L24" s="157">
        <v>39.9</v>
      </c>
      <c r="M24" s="157">
        <v>33.3</v>
      </c>
      <c r="N24" s="157">
        <v>38.4</v>
      </c>
      <c r="O24" s="157">
        <v>37.5</v>
      </c>
      <c r="Q24" s="128" t="str">
        <f t="shared" si="0"/>
        <v>LFC/%</v>
      </c>
      <c r="R24" s="127">
        <f t="shared" si="1"/>
        <v>0.3999999999999986</v>
      </c>
      <c r="S24" s="127">
        <f t="shared" si="1"/>
        <v>-0.09999999999999432</v>
      </c>
      <c r="T24" s="127">
        <f t="shared" si="1"/>
        <v>-1</v>
      </c>
      <c r="U24" s="127">
        <f t="shared" si="1"/>
        <v>0.10000000000000142</v>
      </c>
      <c r="V24" s="127">
        <f t="shared" si="1"/>
        <v>-0.6000000000000014</v>
      </c>
      <c r="W24" s="127">
        <f t="shared" si="1"/>
        <v>0.20000000000000284</v>
      </c>
    </row>
    <row r="25" spans="1:23" ht="12.75">
      <c r="A25" s="134" t="s">
        <v>16</v>
      </c>
      <c r="B25" s="157">
        <v>0.98</v>
      </c>
      <c r="C25" s="157">
        <v>0.89</v>
      </c>
      <c r="D25" s="157">
        <v>0.93</v>
      </c>
      <c r="E25" s="157">
        <v>0.92</v>
      </c>
      <c r="F25" s="157">
        <v>0.93</v>
      </c>
      <c r="G25" s="157">
        <v>0.78</v>
      </c>
      <c r="H25" s="125"/>
      <c r="I25" s="134" t="s">
        <v>16</v>
      </c>
      <c r="J25" s="157">
        <v>0.98</v>
      </c>
      <c r="K25" s="157">
        <v>0.89</v>
      </c>
      <c r="L25" s="157">
        <v>0.94</v>
      </c>
      <c r="M25" s="157">
        <v>0.95</v>
      </c>
      <c r="N25" s="157">
        <v>0.94</v>
      </c>
      <c r="O25" s="157">
        <v>0.88</v>
      </c>
      <c r="Q25" s="128" t="str">
        <f t="shared" si="0"/>
        <v>IACC</v>
      </c>
      <c r="R25" s="127">
        <f t="shared" si="1"/>
        <v>0</v>
      </c>
      <c r="S25" s="127">
        <f t="shared" si="1"/>
        <v>0</v>
      </c>
      <c r="T25" s="127">
        <f t="shared" si="1"/>
        <v>-0.009999999999999898</v>
      </c>
      <c r="U25" s="127">
        <f t="shared" si="1"/>
        <v>-0.029999999999999916</v>
      </c>
      <c r="V25" s="127">
        <f t="shared" si="1"/>
        <v>-0.009999999999999898</v>
      </c>
      <c r="W25" s="127">
        <f t="shared" si="1"/>
        <v>-0.09999999999999998</v>
      </c>
    </row>
    <row r="26" spans="5:15" ht="12.75">
      <c r="E26" s="136"/>
      <c r="F26" s="136"/>
      <c r="G26" s="136"/>
      <c r="H26" s="136"/>
      <c r="M26" s="136"/>
      <c r="N26" s="136"/>
      <c r="O26" s="136"/>
    </row>
    <row r="27" spans="1:18" ht="12.75">
      <c r="A27" s="155" t="s">
        <v>17</v>
      </c>
      <c r="B27" s="156" t="s">
        <v>1</v>
      </c>
      <c r="E27" s="136"/>
      <c r="F27" s="136"/>
      <c r="G27" s="136"/>
      <c r="H27" s="136"/>
      <c r="I27" s="155" t="s">
        <v>17</v>
      </c>
      <c r="J27" s="156" t="s">
        <v>1</v>
      </c>
      <c r="M27" s="136"/>
      <c r="N27" s="136"/>
      <c r="O27" s="136"/>
      <c r="Q27" s="128" t="str">
        <f>+A27</f>
        <v>250 Hz</v>
      </c>
      <c r="R27" s="128" t="str">
        <f>+B27</f>
        <v>octave</v>
      </c>
    </row>
    <row r="28" spans="1:23" ht="12.75">
      <c r="A28" s="142"/>
      <c r="B28" s="140" t="s">
        <v>2</v>
      </c>
      <c r="C28" s="140" t="s">
        <v>3</v>
      </c>
      <c r="D28" s="139" t="s">
        <v>4</v>
      </c>
      <c r="E28" s="139" t="s">
        <v>5</v>
      </c>
      <c r="F28" s="140" t="s">
        <v>6</v>
      </c>
      <c r="G28" s="139" t="s">
        <v>7</v>
      </c>
      <c r="H28" s="141"/>
      <c r="I28" s="142"/>
      <c r="J28" s="140" t="s">
        <v>2</v>
      </c>
      <c r="K28" s="140" t="s">
        <v>3</v>
      </c>
      <c r="L28" s="139" t="s">
        <v>4</v>
      </c>
      <c r="M28" s="139" t="s">
        <v>5</v>
      </c>
      <c r="N28" s="140" t="s">
        <v>6</v>
      </c>
      <c r="O28" s="139" t="s">
        <v>7</v>
      </c>
      <c r="Q28" s="128">
        <f>+A28</f>
        <v>0</v>
      </c>
      <c r="R28" s="128" t="str">
        <f>+B28</f>
        <v>S1R1</v>
      </c>
      <c r="S28" s="128" t="str">
        <f>+C28</f>
        <v>S1R2</v>
      </c>
      <c r="T28" s="128" t="str">
        <f>+D28</f>
        <v>S1R3</v>
      </c>
      <c r="U28" s="128" t="str">
        <f>+E28</f>
        <v>S2R1</v>
      </c>
      <c r="V28" s="128" t="str">
        <f>+F28</f>
        <v>S2R2</v>
      </c>
      <c r="W28" s="128" t="str">
        <f>+G28</f>
        <v>S2R3</v>
      </c>
    </row>
    <row r="29" spans="1:23" ht="12.75">
      <c r="A29" s="130" t="s">
        <v>8</v>
      </c>
      <c r="B29" s="157">
        <v>1.07</v>
      </c>
      <c r="C29" s="157">
        <v>1.07</v>
      </c>
      <c r="D29" s="157">
        <v>1.07</v>
      </c>
      <c r="E29" s="157">
        <v>1.07</v>
      </c>
      <c r="F29" s="157">
        <v>1.07</v>
      </c>
      <c r="G29" s="157">
        <v>1.08</v>
      </c>
      <c r="H29" s="125"/>
      <c r="I29" s="130" t="s">
        <v>8</v>
      </c>
      <c r="J29" s="157">
        <v>0.86</v>
      </c>
      <c r="K29" s="157">
        <v>0.88</v>
      </c>
      <c r="L29" s="157">
        <v>0.88</v>
      </c>
      <c r="M29" s="157">
        <v>0.87</v>
      </c>
      <c r="N29" s="157">
        <v>0.88</v>
      </c>
      <c r="O29" s="157">
        <v>0.88</v>
      </c>
      <c r="Q29" s="128" t="str">
        <f aca="true" t="shared" si="2" ref="Q29:Q37">+A29</f>
        <v>T30/s</v>
      </c>
      <c r="R29" s="127">
        <f aca="true" t="shared" si="3" ref="R29:W37">+B29-J29</f>
        <v>0.21000000000000008</v>
      </c>
      <c r="S29" s="127">
        <f t="shared" si="3"/>
        <v>0.19000000000000006</v>
      </c>
      <c r="T29" s="127">
        <f t="shared" si="3"/>
        <v>0.19000000000000006</v>
      </c>
      <c r="U29" s="127">
        <f t="shared" si="3"/>
        <v>0.20000000000000007</v>
      </c>
      <c r="V29" s="127">
        <f t="shared" si="3"/>
        <v>0.19000000000000006</v>
      </c>
      <c r="W29" s="127">
        <f t="shared" si="3"/>
        <v>0.20000000000000007</v>
      </c>
    </row>
    <row r="30" spans="1:23" ht="12.75">
      <c r="A30" s="130" t="s">
        <v>9</v>
      </c>
      <c r="B30" s="157">
        <v>1.09</v>
      </c>
      <c r="C30" s="157">
        <v>1.06</v>
      </c>
      <c r="D30" s="157">
        <v>1.09</v>
      </c>
      <c r="E30" s="157">
        <v>1.05</v>
      </c>
      <c r="F30" s="157">
        <v>1.07</v>
      </c>
      <c r="G30" s="157">
        <v>1.07</v>
      </c>
      <c r="H30" s="125"/>
      <c r="I30" s="130" t="s">
        <v>9</v>
      </c>
      <c r="J30" s="157">
        <v>0.89</v>
      </c>
      <c r="K30" s="157">
        <v>0.82</v>
      </c>
      <c r="L30" s="157">
        <v>0.89</v>
      </c>
      <c r="M30" s="157">
        <v>0.86</v>
      </c>
      <c r="N30" s="157">
        <v>0.89</v>
      </c>
      <c r="O30" s="157">
        <v>0.86</v>
      </c>
      <c r="Q30" s="128" t="str">
        <f t="shared" si="2"/>
        <v>EDT/s</v>
      </c>
      <c r="R30" s="127">
        <f t="shared" si="3"/>
        <v>0.20000000000000007</v>
      </c>
      <c r="S30" s="127">
        <f t="shared" si="3"/>
        <v>0.2400000000000001</v>
      </c>
      <c r="T30" s="127">
        <f t="shared" si="3"/>
        <v>0.20000000000000007</v>
      </c>
      <c r="U30" s="127">
        <f t="shared" si="3"/>
        <v>0.19000000000000006</v>
      </c>
      <c r="V30" s="127">
        <f t="shared" si="3"/>
        <v>0.18000000000000005</v>
      </c>
      <c r="W30" s="127">
        <f t="shared" si="3"/>
        <v>0.21000000000000008</v>
      </c>
    </row>
    <row r="31" spans="1:23" ht="12.75">
      <c r="A31" s="130" t="s">
        <v>10</v>
      </c>
      <c r="B31" s="157">
        <v>50.9</v>
      </c>
      <c r="C31" s="157">
        <v>57.8</v>
      </c>
      <c r="D31" s="157">
        <v>47.8</v>
      </c>
      <c r="E31" s="157">
        <v>55.2</v>
      </c>
      <c r="F31" s="157">
        <v>51.1</v>
      </c>
      <c r="G31" s="157">
        <v>57.5</v>
      </c>
      <c r="H31" s="125"/>
      <c r="I31" s="130" t="s">
        <v>10</v>
      </c>
      <c r="J31" s="157">
        <v>57.3</v>
      </c>
      <c r="K31" s="157">
        <v>64.2</v>
      </c>
      <c r="L31" s="157">
        <v>57.4</v>
      </c>
      <c r="M31" s="157">
        <v>64.2</v>
      </c>
      <c r="N31" s="157">
        <v>58.8</v>
      </c>
      <c r="O31" s="157">
        <v>62.2</v>
      </c>
      <c r="Q31" s="128" t="str">
        <f t="shared" si="2"/>
        <v>D/%</v>
      </c>
      <c r="R31" s="127">
        <f t="shared" si="3"/>
        <v>-6.399999999999999</v>
      </c>
      <c r="S31" s="127">
        <f t="shared" si="3"/>
        <v>-6.400000000000006</v>
      </c>
      <c r="T31" s="127">
        <f t="shared" si="3"/>
        <v>-9.600000000000001</v>
      </c>
      <c r="U31" s="127">
        <f t="shared" si="3"/>
        <v>-9</v>
      </c>
      <c r="V31" s="127">
        <f t="shared" si="3"/>
        <v>-7.699999999999996</v>
      </c>
      <c r="W31" s="127">
        <f t="shared" si="3"/>
        <v>-4.700000000000003</v>
      </c>
    </row>
    <row r="32" spans="1:23" ht="12.75">
      <c r="A32" s="130" t="s">
        <v>11</v>
      </c>
      <c r="B32" s="157">
        <v>3</v>
      </c>
      <c r="C32" s="157">
        <v>3.8</v>
      </c>
      <c r="D32" s="157">
        <v>2.5</v>
      </c>
      <c r="E32" s="157">
        <v>3.8</v>
      </c>
      <c r="F32" s="157">
        <v>3</v>
      </c>
      <c r="G32" s="157">
        <v>3.7</v>
      </c>
      <c r="H32" s="125"/>
      <c r="I32" s="130" t="s">
        <v>11</v>
      </c>
      <c r="J32" s="157">
        <v>4.3</v>
      </c>
      <c r="K32" s="157">
        <v>5.6</v>
      </c>
      <c r="L32" s="157">
        <v>4.3</v>
      </c>
      <c r="M32" s="157">
        <v>5.5</v>
      </c>
      <c r="N32" s="157">
        <v>4.4</v>
      </c>
      <c r="O32" s="157">
        <v>5.1</v>
      </c>
      <c r="Q32" s="128" t="str">
        <f t="shared" si="2"/>
        <v>C/dB</v>
      </c>
      <c r="R32" s="127">
        <f t="shared" si="3"/>
        <v>-1.2999999999999998</v>
      </c>
      <c r="S32" s="127">
        <f t="shared" si="3"/>
        <v>-1.7999999999999998</v>
      </c>
      <c r="T32" s="127">
        <f t="shared" si="3"/>
        <v>-1.7999999999999998</v>
      </c>
      <c r="U32" s="127">
        <f t="shared" si="3"/>
        <v>-1.7000000000000002</v>
      </c>
      <c r="V32" s="127">
        <f t="shared" si="3"/>
        <v>-1.4000000000000004</v>
      </c>
      <c r="W32" s="127">
        <f t="shared" si="3"/>
        <v>-1.3999999999999995</v>
      </c>
    </row>
    <row r="33" spans="1:23" ht="12.75">
      <c r="A33" s="130" t="s">
        <v>12</v>
      </c>
      <c r="B33" s="157">
        <v>73.1</v>
      </c>
      <c r="C33" s="157">
        <v>64.1</v>
      </c>
      <c r="D33" s="157">
        <v>76.9</v>
      </c>
      <c r="E33" s="157">
        <v>65.3</v>
      </c>
      <c r="F33" s="157">
        <v>72.7</v>
      </c>
      <c r="G33" s="157">
        <v>65</v>
      </c>
      <c r="H33" s="125"/>
      <c r="I33" s="130" t="s">
        <v>12</v>
      </c>
      <c r="J33" s="157">
        <v>59.1</v>
      </c>
      <c r="K33" s="157">
        <v>51.1</v>
      </c>
      <c r="L33" s="157">
        <v>61</v>
      </c>
      <c r="M33" s="157">
        <v>51.5</v>
      </c>
      <c r="N33" s="157">
        <v>59.5</v>
      </c>
      <c r="O33" s="157">
        <v>52.9</v>
      </c>
      <c r="Q33" s="128" t="str">
        <f t="shared" si="2"/>
        <v>TS/ms</v>
      </c>
      <c r="R33" s="127">
        <f t="shared" si="3"/>
        <v>13.999999999999993</v>
      </c>
      <c r="S33" s="127">
        <f t="shared" si="3"/>
        <v>12.999999999999993</v>
      </c>
      <c r="T33" s="127">
        <f t="shared" si="3"/>
        <v>15.900000000000006</v>
      </c>
      <c r="U33" s="127">
        <f t="shared" si="3"/>
        <v>13.799999999999997</v>
      </c>
      <c r="V33" s="127">
        <f t="shared" si="3"/>
        <v>13.200000000000003</v>
      </c>
      <c r="W33" s="127">
        <f t="shared" si="3"/>
        <v>12.100000000000001</v>
      </c>
    </row>
    <row r="34" spans="1:23" ht="12.75">
      <c r="A34" s="130" t="s">
        <v>13</v>
      </c>
      <c r="B34" s="157">
        <v>19.1</v>
      </c>
      <c r="C34" s="157">
        <v>20.2</v>
      </c>
      <c r="D34" s="157">
        <v>19.1</v>
      </c>
      <c r="E34" s="157">
        <v>20.1</v>
      </c>
      <c r="F34" s="157">
        <v>19.3</v>
      </c>
      <c r="G34" s="157">
        <v>20.1</v>
      </c>
      <c r="H34" s="125"/>
      <c r="I34" s="130" t="s">
        <v>13</v>
      </c>
      <c r="J34" s="157">
        <v>18.2</v>
      </c>
      <c r="K34" s="157">
        <v>19.7</v>
      </c>
      <c r="L34" s="157">
        <v>18.2</v>
      </c>
      <c r="M34" s="157">
        <v>19.4</v>
      </c>
      <c r="N34" s="157">
        <v>18.6</v>
      </c>
      <c r="O34" s="157">
        <v>19.6</v>
      </c>
      <c r="Q34" s="128" t="str">
        <f t="shared" si="2"/>
        <v>G/dB</v>
      </c>
      <c r="R34" s="127">
        <f t="shared" si="3"/>
        <v>0.9000000000000021</v>
      </c>
      <c r="S34" s="127">
        <f t="shared" si="3"/>
        <v>0.5</v>
      </c>
      <c r="T34" s="127">
        <f t="shared" si="3"/>
        <v>0.9000000000000021</v>
      </c>
      <c r="U34" s="127">
        <f t="shared" si="3"/>
        <v>0.7000000000000028</v>
      </c>
      <c r="V34" s="127">
        <f t="shared" si="3"/>
        <v>0.6999999999999993</v>
      </c>
      <c r="W34" s="127">
        <f t="shared" si="3"/>
        <v>0.5</v>
      </c>
    </row>
    <row r="35" spans="1:23" ht="12.75">
      <c r="A35" s="130" t="s">
        <v>14</v>
      </c>
      <c r="B35" s="157">
        <v>26.5</v>
      </c>
      <c r="C35" s="157">
        <v>23.4</v>
      </c>
      <c r="D35" s="157">
        <v>24.8</v>
      </c>
      <c r="E35" s="157">
        <v>24.6</v>
      </c>
      <c r="F35" s="157">
        <v>25.7</v>
      </c>
      <c r="G35" s="157">
        <v>25.1</v>
      </c>
      <c r="H35" s="125"/>
      <c r="I35" s="130" t="s">
        <v>14</v>
      </c>
      <c r="J35" s="157">
        <v>25.8</v>
      </c>
      <c r="K35" s="157">
        <v>24.2</v>
      </c>
      <c r="L35" s="157">
        <v>27</v>
      </c>
      <c r="M35" s="157">
        <v>21.3</v>
      </c>
      <c r="N35" s="157">
        <v>27.2</v>
      </c>
      <c r="O35" s="157">
        <v>24.5</v>
      </c>
      <c r="Q35" s="128" t="str">
        <f t="shared" si="2"/>
        <v>LF/%</v>
      </c>
      <c r="R35" s="127">
        <f t="shared" si="3"/>
        <v>0.6999999999999993</v>
      </c>
      <c r="S35" s="127">
        <f t="shared" si="3"/>
        <v>-0.8000000000000007</v>
      </c>
      <c r="T35" s="127">
        <f t="shared" si="3"/>
        <v>-2.1999999999999993</v>
      </c>
      <c r="U35" s="127">
        <f t="shared" si="3"/>
        <v>3.3000000000000007</v>
      </c>
      <c r="V35" s="127">
        <f t="shared" si="3"/>
        <v>-1.5</v>
      </c>
      <c r="W35" s="127">
        <f t="shared" si="3"/>
        <v>0.6000000000000014</v>
      </c>
    </row>
    <row r="36" spans="1:23" ht="12.75">
      <c r="A36" s="130" t="s">
        <v>15</v>
      </c>
      <c r="B36" s="157">
        <v>38.3</v>
      </c>
      <c r="C36" s="157">
        <v>34.4</v>
      </c>
      <c r="D36" s="157">
        <v>39.1</v>
      </c>
      <c r="E36" s="157">
        <v>35.7</v>
      </c>
      <c r="F36" s="157">
        <v>38.6</v>
      </c>
      <c r="G36" s="157">
        <v>36.7</v>
      </c>
      <c r="H36" s="125"/>
      <c r="I36" s="130" t="s">
        <v>15</v>
      </c>
      <c r="J36" s="157">
        <v>36.9</v>
      </c>
      <c r="K36" s="157">
        <v>36.1</v>
      </c>
      <c r="L36" s="157">
        <v>40.4</v>
      </c>
      <c r="M36" s="157">
        <v>32</v>
      </c>
      <c r="N36" s="157">
        <v>40.3</v>
      </c>
      <c r="O36" s="157">
        <v>36.1</v>
      </c>
      <c r="Q36" s="128" t="str">
        <f t="shared" si="2"/>
        <v>LFC/%</v>
      </c>
      <c r="R36" s="127">
        <f t="shared" si="3"/>
        <v>1.3999999999999986</v>
      </c>
      <c r="S36" s="127">
        <f t="shared" si="3"/>
        <v>-1.7000000000000028</v>
      </c>
      <c r="T36" s="127">
        <f t="shared" si="3"/>
        <v>-1.2999999999999972</v>
      </c>
      <c r="U36" s="127">
        <f t="shared" si="3"/>
        <v>3.700000000000003</v>
      </c>
      <c r="V36" s="127">
        <f t="shared" si="3"/>
        <v>-1.6999999999999957</v>
      </c>
      <c r="W36" s="127">
        <f t="shared" si="3"/>
        <v>0.6000000000000014</v>
      </c>
    </row>
    <row r="37" spans="1:23" ht="12.75">
      <c r="A37" s="134" t="s">
        <v>16</v>
      </c>
      <c r="B37" s="157">
        <v>0.8</v>
      </c>
      <c r="C37" s="157">
        <v>0.67</v>
      </c>
      <c r="D37" s="157">
        <v>0.86</v>
      </c>
      <c r="E37" s="157">
        <v>0.79</v>
      </c>
      <c r="F37" s="157">
        <v>0.64</v>
      </c>
      <c r="G37" s="157">
        <v>0.75</v>
      </c>
      <c r="H37" s="125"/>
      <c r="I37" s="134" t="s">
        <v>16</v>
      </c>
      <c r="J37" s="157">
        <v>0.88</v>
      </c>
      <c r="K37" s="157">
        <v>0.71</v>
      </c>
      <c r="L37" s="157">
        <v>0.81</v>
      </c>
      <c r="M37" s="157">
        <v>0.83</v>
      </c>
      <c r="N37" s="157">
        <v>0.72</v>
      </c>
      <c r="O37" s="157">
        <v>0.78</v>
      </c>
      <c r="Q37" s="128" t="str">
        <f t="shared" si="2"/>
        <v>IACC</v>
      </c>
      <c r="R37" s="127">
        <f t="shared" si="3"/>
        <v>-0.07999999999999996</v>
      </c>
      <c r="S37" s="127">
        <f t="shared" si="3"/>
        <v>-0.039999999999999925</v>
      </c>
      <c r="T37" s="127">
        <f t="shared" si="3"/>
        <v>0.04999999999999993</v>
      </c>
      <c r="U37" s="127">
        <f t="shared" si="3"/>
        <v>-0.039999999999999925</v>
      </c>
      <c r="V37" s="127">
        <f t="shared" si="3"/>
        <v>-0.07999999999999996</v>
      </c>
      <c r="W37" s="127">
        <f t="shared" si="3"/>
        <v>-0.030000000000000027</v>
      </c>
    </row>
    <row r="38" spans="5:15" ht="12.75">
      <c r="E38" s="136"/>
      <c r="F38" s="136"/>
      <c r="G38" s="136"/>
      <c r="H38" s="136"/>
      <c r="M38" s="136"/>
      <c r="N38" s="136"/>
      <c r="O38" s="136"/>
    </row>
    <row r="39" spans="1:18" ht="12.75">
      <c r="A39" s="155" t="s">
        <v>18</v>
      </c>
      <c r="B39" s="156" t="s">
        <v>1</v>
      </c>
      <c r="E39" s="136"/>
      <c r="F39" s="136"/>
      <c r="G39" s="136"/>
      <c r="H39" s="136"/>
      <c r="I39" s="155" t="s">
        <v>18</v>
      </c>
      <c r="J39" s="156" t="s">
        <v>1</v>
      </c>
      <c r="M39" s="136"/>
      <c r="N39" s="136"/>
      <c r="O39" s="136"/>
      <c r="Q39" s="128" t="str">
        <f>+A39</f>
        <v>500 Hz</v>
      </c>
      <c r="R39" s="128" t="str">
        <f>+B39</f>
        <v>octave</v>
      </c>
    </row>
    <row r="40" spans="1:23" ht="12.75">
      <c r="A40" s="142"/>
      <c r="B40" s="140" t="s">
        <v>2</v>
      </c>
      <c r="C40" s="140" t="s">
        <v>3</v>
      </c>
      <c r="D40" s="139" t="s">
        <v>4</v>
      </c>
      <c r="E40" s="139" t="s">
        <v>5</v>
      </c>
      <c r="F40" s="140" t="s">
        <v>6</v>
      </c>
      <c r="G40" s="139" t="s">
        <v>7</v>
      </c>
      <c r="H40" s="141"/>
      <c r="I40" s="142"/>
      <c r="J40" s="140" t="s">
        <v>2</v>
      </c>
      <c r="K40" s="140" t="s">
        <v>3</v>
      </c>
      <c r="L40" s="139" t="s">
        <v>4</v>
      </c>
      <c r="M40" s="139" t="s">
        <v>5</v>
      </c>
      <c r="N40" s="140" t="s">
        <v>6</v>
      </c>
      <c r="O40" s="139" t="s">
        <v>7</v>
      </c>
      <c r="Q40" s="128">
        <f>+A40</f>
        <v>0</v>
      </c>
      <c r="R40" s="128" t="str">
        <f>+B40</f>
        <v>S1R1</v>
      </c>
      <c r="S40" s="128" t="str">
        <f>+C40</f>
        <v>S1R2</v>
      </c>
      <c r="T40" s="128" t="str">
        <f>+D40</f>
        <v>S1R3</v>
      </c>
      <c r="U40" s="128" t="str">
        <f>+E40</f>
        <v>S2R1</v>
      </c>
      <c r="V40" s="128" t="str">
        <f>+F40</f>
        <v>S2R2</v>
      </c>
      <c r="W40" s="128" t="str">
        <f>+G40</f>
        <v>S2R3</v>
      </c>
    </row>
    <row r="41" spans="1:23" ht="12.75">
      <c r="A41" s="130" t="s">
        <v>8</v>
      </c>
      <c r="B41" s="157">
        <v>1.09</v>
      </c>
      <c r="C41" s="157">
        <v>1.08</v>
      </c>
      <c r="D41" s="157">
        <v>1.09</v>
      </c>
      <c r="E41" s="157">
        <v>1.08</v>
      </c>
      <c r="F41" s="157">
        <v>1.07</v>
      </c>
      <c r="G41" s="157">
        <v>1.08</v>
      </c>
      <c r="H41" s="125"/>
      <c r="I41" s="130" t="s">
        <v>8</v>
      </c>
      <c r="J41" s="157">
        <v>0.85</v>
      </c>
      <c r="K41" s="157">
        <v>0.86</v>
      </c>
      <c r="L41" s="157">
        <v>0.86</v>
      </c>
      <c r="M41" s="157">
        <v>0.85</v>
      </c>
      <c r="N41" s="157">
        <v>0.87</v>
      </c>
      <c r="O41" s="157">
        <v>0.87</v>
      </c>
      <c r="Q41" s="128" t="str">
        <f aca="true" t="shared" si="4" ref="Q41:Q49">+A41</f>
        <v>T30/s</v>
      </c>
      <c r="R41" s="127">
        <f aca="true" t="shared" si="5" ref="R41:W49">+B41-J41</f>
        <v>0.2400000000000001</v>
      </c>
      <c r="S41" s="127">
        <f t="shared" si="5"/>
        <v>0.22000000000000008</v>
      </c>
      <c r="T41" s="127">
        <f t="shared" si="5"/>
        <v>0.2300000000000001</v>
      </c>
      <c r="U41" s="127">
        <f t="shared" si="5"/>
        <v>0.2300000000000001</v>
      </c>
      <c r="V41" s="127">
        <f t="shared" si="5"/>
        <v>0.20000000000000007</v>
      </c>
      <c r="W41" s="127">
        <f t="shared" si="5"/>
        <v>0.21000000000000008</v>
      </c>
    </row>
    <row r="42" spans="1:23" ht="12.75">
      <c r="A42" s="130" t="s">
        <v>9</v>
      </c>
      <c r="B42" s="157">
        <v>1.08</v>
      </c>
      <c r="C42" s="157">
        <v>1.03</v>
      </c>
      <c r="D42" s="157">
        <v>1.05</v>
      </c>
      <c r="E42" s="157">
        <v>1.05</v>
      </c>
      <c r="F42" s="157">
        <v>1.1</v>
      </c>
      <c r="G42" s="157">
        <v>1.05</v>
      </c>
      <c r="H42" s="125"/>
      <c r="I42" s="130" t="s">
        <v>9</v>
      </c>
      <c r="J42" s="157">
        <v>0.87</v>
      </c>
      <c r="K42" s="157">
        <v>0.84</v>
      </c>
      <c r="L42" s="157">
        <v>0.91</v>
      </c>
      <c r="M42" s="157">
        <v>0.86</v>
      </c>
      <c r="N42" s="157">
        <v>0.87</v>
      </c>
      <c r="O42" s="157">
        <v>0.85</v>
      </c>
      <c r="Q42" s="128" t="str">
        <f t="shared" si="4"/>
        <v>EDT/s</v>
      </c>
      <c r="R42" s="127">
        <f t="shared" si="5"/>
        <v>0.21000000000000008</v>
      </c>
      <c r="S42" s="127">
        <f t="shared" si="5"/>
        <v>0.19000000000000006</v>
      </c>
      <c r="T42" s="127">
        <f t="shared" si="5"/>
        <v>0.14</v>
      </c>
      <c r="U42" s="127">
        <f t="shared" si="5"/>
        <v>0.19000000000000006</v>
      </c>
      <c r="V42" s="127">
        <f t="shared" si="5"/>
        <v>0.2300000000000001</v>
      </c>
      <c r="W42" s="127">
        <f t="shared" si="5"/>
        <v>0.20000000000000007</v>
      </c>
    </row>
    <row r="43" spans="1:23" ht="12.75">
      <c r="A43" s="130" t="s">
        <v>10</v>
      </c>
      <c r="B43" s="157">
        <v>54.2</v>
      </c>
      <c r="C43" s="157">
        <v>57</v>
      </c>
      <c r="D43" s="157">
        <v>50.2</v>
      </c>
      <c r="E43" s="157">
        <v>54.2</v>
      </c>
      <c r="F43" s="157">
        <v>50.2</v>
      </c>
      <c r="G43" s="157">
        <v>56.6</v>
      </c>
      <c r="H43" s="125"/>
      <c r="I43" s="130" t="s">
        <v>10</v>
      </c>
      <c r="J43" s="157">
        <v>58.3</v>
      </c>
      <c r="K43" s="157">
        <v>64.6</v>
      </c>
      <c r="L43" s="157">
        <v>55.3</v>
      </c>
      <c r="M43" s="157">
        <v>62</v>
      </c>
      <c r="N43" s="157">
        <v>58.8</v>
      </c>
      <c r="O43" s="157">
        <v>64</v>
      </c>
      <c r="Q43" s="128" t="str">
        <f t="shared" si="4"/>
        <v>D/%</v>
      </c>
      <c r="R43" s="127">
        <f t="shared" si="5"/>
        <v>-4.099999999999994</v>
      </c>
      <c r="S43" s="127">
        <f t="shared" si="5"/>
        <v>-7.599999999999994</v>
      </c>
      <c r="T43" s="127">
        <f t="shared" si="5"/>
        <v>-5.099999999999994</v>
      </c>
      <c r="U43" s="127">
        <f t="shared" si="5"/>
        <v>-7.799999999999997</v>
      </c>
      <c r="V43" s="127">
        <f t="shared" si="5"/>
        <v>-8.599999999999994</v>
      </c>
      <c r="W43" s="127">
        <f t="shared" si="5"/>
        <v>-7.399999999999999</v>
      </c>
    </row>
    <row r="44" spans="1:23" ht="12.75">
      <c r="A44" s="130" t="s">
        <v>11</v>
      </c>
      <c r="B44" s="157">
        <v>3.2</v>
      </c>
      <c r="C44" s="157">
        <v>3.9</v>
      </c>
      <c r="D44" s="157">
        <v>2.8</v>
      </c>
      <c r="E44" s="157">
        <v>3.9</v>
      </c>
      <c r="F44" s="157">
        <v>2.6</v>
      </c>
      <c r="G44" s="157">
        <v>3.7</v>
      </c>
      <c r="H44" s="125"/>
      <c r="I44" s="130" t="s">
        <v>11</v>
      </c>
      <c r="J44" s="157">
        <v>4.7</v>
      </c>
      <c r="K44" s="157">
        <v>5.6</v>
      </c>
      <c r="L44" s="157">
        <v>3.9</v>
      </c>
      <c r="M44" s="157">
        <v>5.3</v>
      </c>
      <c r="N44" s="157">
        <v>4.6</v>
      </c>
      <c r="O44" s="157">
        <v>5.3</v>
      </c>
      <c r="Q44" s="128" t="str">
        <f t="shared" si="4"/>
        <v>C/dB</v>
      </c>
      <c r="R44" s="127">
        <f t="shared" si="5"/>
        <v>-1.5</v>
      </c>
      <c r="S44" s="127">
        <f t="shared" si="5"/>
        <v>-1.6999999999999997</v>
      </c>
      <c r="T44" s="127">
        <f t="shared" si="5"/>
        <v>-1.1</v>
      </c>
      <c r="U44" s="127">
        <f t="shared" si="5"/>
        <v>-1.4</v>
      </c>
      <c r="V44" s="127">
        <f t="shared" si="5"/>
        <v>-1.9999999999999996</v>
      </c>
      <c r="W44" s="127">
        <f t="shared" si="5"/>
        <v>-1.5999999999999996</v>
      </c>
    </row>
    <row r="45" spans="1:23" ht="12.75">
      <c r="A45" s="130" t="s">
        <v>12</v>
      </c>
      <c r="B45" s="157">
        <v>71.1</v>
      </c>
      <c r="C45" s="157">
        <v>63.6</v>
      </c>
      <c r="D45" s="157">
        <v>74.8</v>
      </c>
      <c r="E45" s="157">
        <v>65.3</v>
      </c>
      <c r="F45" s="157">
        <v>74.9</v>
      </c>
      <c r="G45" s="157">
        <v>65.4</v>
      </c>
      <c r="H45" s="125"/>
      <c r="I45" s="130" t="s">
        <v>12</v>
      </c>
      <c r="J45" s="157">
        <v>58.2</v>
      </c>
      <c r="K45" s="157">
        <v>50.7</v>
      </c>
      <c r="L45" s="157">
        <v>62</v>
      </c>
      <c r="M45" s="157">
        <v>52.5</v>
      </c>
      <c r="N45" s="157">
        <v>58.5</v>
      </c>
      <c r="O45" s="157">
        <v>52.1</v>
      </c>
      <c r="Q45" s="128" t="str">
        <f t="shared" si="4"/>
        <v>TS/ms</v>
      </c>
      <c r="R45" s="127">
        <f t="shared" si="5"/>
        <v>12.899999999999991</v>
      </c>
      <c r="S45" s="127">
        <f t="shared" si="5"/>
        <v>12.899999999999999</v>
      </c>
      <c r="T45" s="127">
        <f t="shared" si="5"/>
        <v>12.799999999999997</v>
      </c>
      <c r="U45" s="127">
        <f t="shared" si="5"/>
        <v>12.799999999999997</v>
      </c>
      <c r="V45" s="127">
        <f t="shared" si="5"/>
        <v>16.400000000000006</v>
      </c>
      <c r="W45" s="127">
        <f t="shared" si="5"/>
        <v>13.300000000000004</v>
      </c>
    </row>
    <row r="46" spans="1:23" ht="12.75">
      <c r="A46" s="130" t="s">
        <v>13</v>
      </c>
      <c r="B46" s="157">
        <v>19.3</v>
      </c>
      <c r="C46" s="157">
        <v>20.6</v>
      </c>
      <c r="D46" s="157">
        <v>19.2</v>
      </c>
      <c r="E46" s="157">
        <v>19.9</v>
      </c>
      <c r="F46" s="157">
        <v>19.2</v>
      </c>
      <c r="G46" s="157">
        <v>20.2</v>
      </c>
      <c r="H46" s="125"/>
      <c r="I46" s="130" t="s">
        <v>13</v>
      </c>
      <c r="J46" s="157">
        <v>18.2</v>
      </c>
      <c r="K46" s="157">
        <v>19.6</v>
      </c>
      <c r="L46" s="157">
        <v>18</v>
      </c>
      <c r="M46" s="157">
        <v>19.2</v>
      </c>
      <c r="N46" s="157">
        <v>18.7</v>
      </c>
      <c r="O46" s="157">
        <v>19.5</v>
      </c>
      <c r="Q46" s="128" t="str">
        <f t="shared" si="4"/>
        <v>G/dB</v>
      </c>
      <c r="R46" s="127">
        <f t="shared" si="5"/>
        <v>1.1000000000000014</v>
      </c>
      <c r="S46" s="127">
        <f t="shared" si="5"/>
        <v>1</v>
      </c>
      <c r="T46" s="127">
        <f t="shared" si="5"/>
        <v>1.1999999999999993</v>
      </c>
      <c r="U46" s="127">
        <f t="shared" si="5"/>
        <v>0.6999999999999993</v>
      </c>
      <c r="V46" s="127">
        <f t="shared" si="5"/>
        <v>0.5</v>
      </c>
      <c r="W46" s="127">
        <f t="shared" si="5"/>
        <v>0.6999999999999993</v>
      </c>
    </row>
    <row r="47" spans="1:23" ht="12.75">
      <c r="A47" s="130" t="s">
        <v>14</v>
      </c>
      <c r="B47" s="157">
        <v>24.9</v>
      </c>
      <c r="C47" s="157">
        <v>26.1</v>
      </c>
      <c r="D47" s="157">
        <v>24.3</v>
      </c>
      <c r="E47" s="157">
        <v>25.2</v>
      </c>
      <c r="F47" s="157">
        <v>25.4</v>
      </c>
      <c r="G47" s="157">
        <v>25</v>
      </c>
      <c r="H47" s="125"/>
      <c r="I47" s="130" t="s">
        <v>14</v>
      </c>
      <c r="J47" s="157">
        <v>24</v>
      </c>
      <c r="K47" s="157">
        <v>25.3</v>
      </c>
      <c r="L47" s="157">
        <v>27.1</v>
      </c>
      <c r="M47" s="157">
        <v>21.4</v>
      </c>
      <c r="N47" s="157">
        <v>23.9</v>
      </c>
      <c r="O47" s="157">
        <v>23.6</v>
      </c>
      <c r="Q47" s="128" t="str">
        <f t="shared" si="4"/>
        <v>LF/%</v>
      </c>
      <c r="R47" s="127">
        <f t="shared" si="5"/>
        <v>0.8999999999999986</v>
      </c>
      <c r="S47" s="127">
        <f t="shared" si="5"/>
        <v>0.8000000000000007</v>
      </c>
      <c r="T47" s="127">
        <f t="shared" si="5"/>
        <v>-2.8000000000000007</v>
      </c>
      <c r="U47" s="127">
        <f t="shared" si="5"/>
        <v>3.8000000000000007</v>
      </c>
      <c r="V47" s="127">
        <f t="shared" si="5"/>
        <v>1.5</v>
      </c>
      <c r="W47" s="127">
        <f t="shared" si="5"/>
        <v>1.3999999999999986</v>
      </c>
    </row>
    <row r="48" spans="1:23" ht="12.75">
      <c r="A48" s="130" t="s">
        <v>15</v>
      </c>
      <c r="B48" s="157">
        <v>37.4</v>
      </c>
      <c r="C48" s="157">
        <v>37.5</v>
      </c>
      <c r="D48" s="157">
        <v>38.5</v>
      </c>
      <c r="E48" s="157">
        <v>35.4</v>
      </c>
      <c r="F48" s="157">
        <v>38.1</v>
      </c>
      <c r="G48" s="157">
        <v>36.5</v>
      </c>
      <c r="H48" s="125"/>
      <c r="I48" s="130" t="s">
        <v>15</v>
      </c>
      <c r="J48" s="157">
        <v>35.5</v>
      </c>
      <c r="K48" s="157">
        <v>36.2</v>
      </c>
      <c r="L48" s="157">
        <v>41.2</v>
      </c>
      <c r="M48" s="157">
        <v>32.1</v>
      </c>
      <c r="N48" s="157">
        <v>36.6</v>
      </c>
      <c r="O48" s="157">
        <v>35</v>
      </c>
      <c r="Q48" s="128" t="str">
        <f t="shared" si="4"/>
        <v>LFC/%</v>
      </c>
      <c r="R48" s="127">
        <f t="shared" si="5"/>
        <v>1.8999999999999986</v>
      </c>
      <c r="S48" s="127">
        <f t="shared" si="5"/>
        <v>1.2999999999999972</v>
      </c>
      <c r="T48" s="127">
        <f t="shared" si="5"/>
        <v>-2.700000000000003</v>
      </c>
      <c r="U48" s="127">
        <f t="shared" si="5"/>
        <v>3.299999999999997</v>
      </c>
      <c r="V48" s="127">
        <f t="shared" si="5"/>
        <v>1.5</v>
      </c>
      <c r="W48" s="127">
        <f t="shared" si="5"/>
        <v>1.5</v>
      </c>
    </row>
    <row r="49" spans="1:23" ht="12.75">
      <c r="A49" s="134" t="s">
        <v>16</v>
      </c>
      <c r="B49" s="157">
        <v>0.43</v>
      </c>
      <c r="C49" s="157">
        <v>0.38</v>
      </c>
      <c r="D49" s="157">
        <v>0.35</v>
      </c>
      <c r="E49" s="157">
        <v>0.21</v>
      </c>
      <c r="F49" s="157">
        <v>0.43</v>
      </c>
      <c r="G49" s="157">
        <v>0.28</v>
      </c>
      <c r="H49" s="125"/>
      <c r="I49" s="134" t="s">
        <v>16</v>
      </c>
      <c r="J49" s="157">
        <v>0.45</v>
      </c>
      <c r="K49" s="157">
        <v>0.17</v>
      </c>
      <c r="L49" s="157">
        <v>0.27</v>
      </c>
      <c r="M49" s="157">
        <v>0.43</v>
      </c>
      <c r="N49" s="157">
        <v>0.35</v>
      </c>
      <c r="O49" s="157">
        <v>0.38</v>
      </c>
      <c r="Q49" s="128" t="str">
        <f t="shared" si="4"/>
        <v>IACC</v>
      </c>
      <c r="R49" s="127">
        <f t="shared" si="5"/>
        <v>-0.020000000000000018</v>
      </c>
      <c r="S49" s="127">
        <f t="shared" si="5"/>
        <v>0.21</v>
      </c>
      <c r="T49" s="127">
        <f t="shared" si="5"/>
        <v>0.07999999999999996</v>
      </c>
      <c r="U49" s="127">
        <f t="shared" si="5"/>
        <v>-0.22</v>
      </c>
      <c r="V49" s="127">
        <f t="shared" si="5"/>
        <v>0.08000000000000002</v>
      </c>
      <c r="W49" s="127">
        <f t="shared" si="5"/>
        <v>-0.09999999999999998</v>
      </c>
    </row>
    <row r="50" spans="5:23" ht="12.75">
      <c r="E50" s="136"/>
      <c r="F50" s="136"/>
      <c r="G50" s="136"/>
      <c r="H50" s="136"/>
      <c r="M50" s="136"/>
      <c r="N50" s="136"/>
      <c r="O50" s="136"/>
      <c r="R50" s="127"/>
      <c r="S50" s="127"/>
      <c r="T50" s="127"/>
      <c r="U50" s="127"/>
      <c r="V50" s="127"/>
      <c r="W50" s="127"/>
    </row>
    <row r="51" spans="1:18" ht="12.75">
      <c r="A51" s="155" t="s">
        <v>19</v>
      </c>
      <c r="B51" s="156" t="s">
        <v>1</v>
      </c>
      <c r="E51" s="136"/>
      <c r="F51" s="136"/>
      <c r="G51" s="136"/>
      <c r="H51" s="136"/>
      <c r="I51" s="155" t="s">
        <v>19</v>
      </c>
      <c r="J51" s="156" t="s">
        <v>1</v>
      </c>
      <c r="M51" s="136"/>
      <c r="N51" s="136"/>
      <c r="O51" s="136"/>
      <c r="Q51" s="128" t="str">
        <f>+A51</f>
        <v>1000 Hz</v>
      </c>
      <c r="R51" s="128" t="str">
        <f>+B51</f>
        <v>octave</v>
      </c>
    </row>
    <row r="52" spans="1:23" ht="12.75">
      <c r="A52" s="142"/>
      <c r="B52" s="140" t="s">
        <v>2</v>
      </c>
      <c r="C52" s="140" t="s">
        <v>3</v>
      </c>
      <c r="D52" s="139" t="s">
        <v>4</v>
      </c>
      <c r="E52" s="139" t="s">
        <v>5</v>
      </c>
      <c r="F52" s="140" t="s">
        <v>6</v>
      </c>
      <c r="G52" s="139" t="s">
        <v>7</v>
      </c>
      <c r="H52" s="141"/>
      <c r="I52" s="142"/>
      <c r="J52" s="140" t="s">
        <v>2</v>
      </c>
      <c r="K52" s="140" t="s">
        <v>3</v>
      </c>
      <c r="L52" s="139" t="s">
        <v>4</v>
      </c>
      <c r="M52" s="139" t="s">
        <v>5</v>
      </c>
      <c r="N52" s="140" t="s">
        <v>6</v>
      </c>
      <c r="O52" s="139" t="s">
        <v>7</v>
      </c>
      <c r="Q52" s="128">
        <f>+A52</f>
        <v>0</v>
      </c>
      <c r="R52" s="128" t="str">
        <f>+B52</f>
        <v>S1R1</v>
      </c>
      <c r="S52" s="128" t="str">
        <f>+C52</f>
        <v>S1R2</v>
      </c>
      <c r="T52" s="128" t="str">
        <f>+D52</f>
        <v>S1R3</v>
      </c>
      <c r="U52" s="128" t="str">
        <f>+E52</f>
        <v>S2R1</v>
      </c>
      <c r="V52" s="128" t="str">
        <f>+F52</f>
        <v>S2R2</v>
      </c>
      <c r="W52" s="128" t="str">
        <f>+G52</f>
        <v>S2R3</v>
      </c>
    </row>
    <row r="53" spans="1:23" ht="12.75">
      <c r="A53" s="130" t="s">
        <v>8</v>
      </c>
      <c r="B53" s="157">
        <v>0.95</v>
      </c>
      <c r="C53" s="157">
        <v>0.95</v>
      </c>
      <c r="D53" s="157">
        <v>0.96</v>
      </c>
      <c r="E53" s="157">
        <v>0.95</v>
      </c>
      <c r="F53" s="157">
        <v>0.95</v>
      </c>
      <c r="G53" s="157">
        <v>0.96</v>
      </c>
      <c r="H53" s="125"/>
      <c r="I53" s="130" t="s">
        <v>8</v>
      </c>
      <c r="J53" s="157">
        <v>0.76</v>
      </c>
      <c r="K53" s="157">
        <v>0.75</v>
      </c>
      <c r="L53" s="157">
        <v>0.75</v>
      </c>
      <c r="M53" s="157">
        <v>0.75</v>
      </c>
      <c r="N53" s="157">
        <v>0.76</v>
      </c>
      <c r="O53" s="157">
        <v>0.78</v>
      </c>
      <c r="Q53" s="128" t="str">
        <f aca="true" t="shared" si="6" ref="Q53:Q61">+A53</f>
        <v>T30/s</v>
      </c>
      <c r="R53" s="127">
        <f aca="true" t="shared" si="7" ref="R53:W61">+B53-J53</f>
        <v>0.18999999999999995</v>
      </c>
      <c r="S53" s="127">
        <f t="shared" si="7"/>
        <v>0.19999999999999996</v>
      </c>
      <c r="T53" s="127">
        <f t="shared" si="7"/>
        <v>0.20999999999999996</v>
      </c>
      <c r="U53" s="127">
        <f t="shared" si="7"/>
        <v>0.19999999999999996</v>
      </c>
      <c r="V53" s="127">
        <f t="shared" si="7"/>
        <v>0.18999999999999995</v>
      </c>
      <c r="W53" s="127">
        <f t="shared" si="7"/>
        <v>0.17999999999999994</v>
      </c>
    </row>
    <row r="54" spans="1:23" ht="12.75">
      <c r="A54" s="130" t="s">
        <v>9</v>
      </c>
      <c r="B54" s="157">
        <v>0.97</v>
      </c>
      <c r="C54" s="157">
        <v>0.93</v>
      </c>
      <c r="D54" s="157">
        <v>0.95</v>
      </c>
      <c r="E54" s="157">
        <v>0.92</v>
      </c>
      <c r="F54" s="157">
        <v>0.96</v>
      </c>
      <c r="G54" s="157">
        <v>0.95</v>
      </c>
      <c r="H54" s="125"/>
      <c r="I54" s="130" t="s">
        <v>9</v>
      </c>
      <c r="J54" s="157">
        <v>0.75</v>
      </c>
      <c r="K54" s="157">
        <v>0.73</v>
      </c>
      <c r="L54" s="157">
        <v>0.76</v>
      </c>
      <c r="M54" s="157">
        <v>0.71</v>
      </c>
      <c r="N54" s="157">
        <v>0.78</v>
      </c>
      <c r="O54" s="157">
        <v>0.72</v>
      </c>
      <c r="Q54" s="128" t="str">
        <f t="shared" si="6"/>
        <v>EDT/s</v>
      </c>
      <c r="R54" s="127">
        <f t="shared" si="7"/>
        <v>0.21999999999999997</v>
      </c>
      <c r="S54" s="127">
        <f t="shared" si="7"/>
        <v>0.20000000000000007</v>
      </c>
      <c r="T54" s="127">
        <f t="shared" si="7"/>
        <v>0.18999999999999995</v>
      </c>
      <c r="U54" s="127">
        <f t="shared" si="7"/>
        <v>0.21000000000000008</v>
      </c>
      <c r="V54" s="127">
        <f t="shared" si="7"/>
        <v>0.17999999999999994</v>
      </c>
      <c r="W54" s="127">
        <f t="shared" si="7"/>
        <v>0.22999999999999998</v>
      </c>
    </row>
    <row r="55" spans="1:23" ht="12.75">
      <c r="A55" s="130" t="s">
        <v>10</v>
      </c>
      <c r="B55" s="157">
        <v>55.4</v>
      </c>
      <c r="C55" s="157">
        <v>59.9</v>
      </c>
      <c r="D55" s="157">
        <v>52.2</v>
      </c>
      <c r="E55" s="157">
        <v>59.4</v>
      </c>
      <c r="F55" s="157">
        <v>53.7</v>
      </c>
      <c r="G55" s="157">
        <v>60.9</v>
      </c>
      <c r="H55" s="125"/>
      <c r="I55" s="130" t="s">
        <v>10</v>
      </c>
      <c r="J55" s="157">
        <v>65.3</v>
      </c>
      <c r="K55" s="157">
        <v>68.1</v>
      </c>
      <c r="L55" s="157">
        <v>61.4</v>
      </c>
      <c r="M55" s="157">
        <v>67.8</v>
      </c>
      <c r="N55" s="157">
        <v>63.2</v>
      </c>
      <c r="O55" s="157">
        <v>68.7</v>
      </c>
      <c r="Q55" s="128" t="str">
        <f t="shared" si="6"/>
        <v>D/%</v>
      </c>
      <c r="R55" s="127">
        <f t="shared" si="7"/>
        <v>-9.899999999999999</v>
      </c>
      <c r="S55" s="127">
        <f t="shared" si="7"/>
        <v>-8.199999999999996</v>
      </c>
      <c r="T55" s="127">
        <f t="shared" si="7"/>
        <v>-9.199999999999996</v>
      </c>
      <c r="U55" s="127">
        <f t="shared" si="7"/>
        <v>-8.399999999999999</v>
      </c>
      <c r="V55" s="127">
        <f t="shared" si="7"/>
        <v>-9.5</v>
      </c>
      <c r="W55" s="127">
        <f t="shared" si="7"/>
        <v>-7.800000000000004</v>
      </c>
    </row>
    <row r="56" spans="1:23" ht="12.75">
      <c r="A56" s="130" t="s">
        <v>11</v>
      </c>
      <c r="B56" s="157">
        <v>3.7</v>
      </c>
      <c r="C56" s="157">
        <v>4.6</v>
      </c>
      <c r="D56" s="157">
        <v>3.5</v>
      </c>
      <c r="E56" s="157">
        <v>4.8</v>
      </c>
      <c r="F56" s="157">
        <v>3.5</v>
      </c>
      <c r="G56" s="157">
        <v>4.8</v>
      </c>
      <c r="H56" s="125"/>
      <c r="I56" s="130" t="s">
        <v>11</v>
      </c>
      <c r="J56" s="157">
        <v>5.9</v>
      </c>
      <c r="K56" s="157">
        <v>6.5</v>
      </c>
      <c r="L56" s="157">
        <v>5.3</v>
      </c>
      <c r="M56" s="157">
        <v>6.7</v>
      </c>
      <c r="N56" s="157">
        <v>5.4</v>
      </c>
      <c r="O56" s="157">
        <v>6.5</v>
      </c>
      <c r="Q56" s="128" t="str">
        <f t="shared" si="6"/>
        <v>C/dB</v>
      </c>
      <c r="R56" s="127">
        <f t="shared" si="7"/>
        <v>-2.2</v>
      </c>
      <c r="S56" s="127">
        <f t="shared" si="7"/>
        <v>-1.9000000000000004</v>
      </c>
      <c r="T56" s="127">
        <f t="shared" si="7"/>
        <v>-1.7999999999999998</v>
      </c>
      <c r="U56" s="127">
        <f t="shared" si="7"/>
        <v>-1.9000000000000004</v>
      </c>
      <c r="V56" s="127">
        <f t="shared" si="7"/>
        <v>-1.9000000000000004</v>
      </c>
      <c r="W56" s="127">
        <f t="shared" si="7"/>
        <v>-1.7000000000000002</v>
      </c>
    </row>
    <row r="57" spans="1:23" ht="13.5" customHeight="1">
      <c r="A57" s="130" t="s">
        <v>12</v>
      </c>
      <c r="B57" s="157">
        <v>64.9</v>
      </c>
      <c r="C57" s="157">
        <v>57</v>
      </c>
      <c r="D57" s="157">
        <v>66.6</v>
      </c>
      <c r="E57" s="157">
        <v>56.2</v>
      </c>
      <c r="F57" s="157">
        <v>66.2</v>
      </c>
      <c r="G57" s="157">
        <v>57.1</v>
      </c>
      <c r="H57" s="125"/>
      <c r="I57" s="130" t="s">
        <v>12</v>
      </c>
      <c r="J57" s="157">
        <v>49</v>
      </c>
      <c r="K57" s="157">
        <v>44.8</v>
      </c>
      <c r="L57" s="157">
        <v>53</v>
      </c>
      <c r="M57" s="157">
        <v>43.1</v>
      </c>
      <c r="N57" s="157">
        <v>50.8</v>
      </c>
      <c r="O57" s="157">
        <v>43.6</v>
      </c>
      <c r="Q57" s="128" t="str">
        <f t="shared" si="6"/>
        <v>TS/ms</v>
      </c>
      <c r="R57" s="127">
        <f t="shared" si="7"/>
        <v>15.900000000000006</v>
      </c>
      <c r="S57" s="127">
        <f t="shared" si="7"/>
        <v>12.200000000000003</v>
      </c>
      <c r="T57" s="127">
        <f t="shared" si="7"/>
        <v>13.599999999999994</v>
      </c>
      <c r="U57" s="127">
        <f t="shared" si="7"/>
        <v>13.100000000000001</v>
      </c>
      <c r="V57" s="127">
        <f t="shared" si="7"/>
        <v>15.400000000000006</v>
      </c>
      <c r="W57" s="127">
        <f t="shared" si="7"/>
        <v>13.5</v>
      </c>
    </row>
    <row r="58" spans="1:23" ht="12" customHeight="1">
      <c r="A58" s="130" t="s">
        <v>13</v>
      </c>
      <c r="B58" s="157">
        <v>18.6</v>
      </c>
      <c r="C58" s="157">
        <v>20.1</v>
      </c>
      <c r="D58" s="157">
        <v>18.5</v>
      </c>
      <c r="E58" s="157">
        <v>19.5</v>
      </c>
      <c r="F58" s="157">
        <v>18.8</v>
      </c>
      <c r="G58" s="157">
        <v>19.7</v>
      </c>
      <c r="H58" s="125"/>
      <c r="I58" s="130" t="s">
        <v>13</v>
      </c>
      <c r="J58" s="157">
        <v>17.8</v>
      </c>
      <c r="K58" s="157">
        <v>19.3</v>
      </c>
      <c r="L58" s="157">
        <v>17.9</v>
      </c>
      <c r="M58" s="157">
        <v>18.9</v>
      </c>
      <c r="N58" s="157">
        <v>18</v>
      </c>
      <c r="O58" s="157">
        <v>19.1</v>
      </c>
      <c r="Q58" s="128" t="str">
        <f t="shared" si="6"/>
        <v>G/dB</v>
      </c>
      <c r="R58" s="127">
        <f t="shared" si="7"/>
        <v>0.8000000000000007</v>
      </c>
      <c r="S58" s="127">
        <f t="shared" si="7"/>
        <v>0.8000000000000007</v>
      </c>
      <c r="T58" s="127">
        <f t="shared" si="7"/>
        <v>0.6000000000000014</v>
      </c>
      <c r="U58" s="127">
        <f t="shared" si="7"/>
        <v>0.6000000000000014</v>
      </c>
      <c r="V58" s="127">
        <f t="shared" si="7"/>
        <v>0.8000000000000007</v>
      </c>
      <c r="W58" s="127">
        <f t="shared" si="7"/>
        <v>0.5999999999999979</v>
      </c>
    </row>
    <row r="59" spans="1:23" ht="12.75">
      <c r="A59" s="130" t="s">
        <v>14</v>
      </c>
      <c r="B59" s="157">
        <v>27.3</v>
      </c>
      <c r="C59" s="157">
        <v>24.3</v>
      </c>
      <c r="D59" s="157">
        <v>26</v>
      </c>
      <c r="E59" s="157">
        <v>23.3</v>
      </c>
      <c r="F59" s="157">
        <v>25.7</v>
      </c>
      <c r="G59" s="157">
        <v>24.5</v>
      </c>
      <c r="H59" s="125"/>
      <c r="I59" s="130" t="s">
        <v>14</v>
      </c>
      <c r="J59" s="157">
        <v>22.7</v>
      </c>
      <c r="K59" s="157">
        <v>23</v>
      </c>
      <c r="L59" s="157">
        <v>26.2</v>
      </c>
      <c r="M59" s="157">
        <v>21.5</v>
      </c>
      <c r="N59" s="157">
        <v>22.5</v>
      </c>
      <c r="O59" s="157">
        <v>23.4</v>
      </c>
      <c r="Q59" s="128" t="str">
        <f t="shared" si="6"/>
        <v>LF/%</v>
      </c>
      <c r="R59" s="127">
        <f t="shared" si="7"/>
        <v>4.600000000000001</v>
      </c>
      <c r="S59" s="127">
        <f t="shared" si="7"/>
        <v>1.3000000000000007</v>
      </c>
      <c r="T59" s="127">
        <f t="shared" si="7"/>
        <v>-0.1999999999999993</v>
      </c>
      <c r="U59" s="127">
        <f t="shared" si="7"/>
        <v>1.8000000000000007</v>
      </c>
      <c r="V59" s="127">
        <f t="shared" si="7"/>
        <v>3.1999999999999993</v>
      </c>
      <c r="W59" s="127">
        <f t="shared" si="7"/>
        <v>1.1000000000000014</v>
      </c>
    </row>
    <row r="60" spans="1:23" ht="12.75">
      <c r="A60" s="130" t="s">
        <v>15</v>
      </c>
      <c r="B60" s="157">
        <v>38.8</v>
      </c>
      <c r="C60" s="157">
        <v>34.9</v>
      </c>
      <c r="D60" s="157">
        <v>40.1</v>
      </c>
      <c r="E60" s="157">
        <v>33.6</v>
      </c>
      <c r="F60" s="157">
        <v>37.9</v>
      </c>
      <c r="G60" s="157">
        <v>35.5</v>
      </c>
      <c r="H60" s="125"/>
      <c r="I60" s="130" t="s">
        <v>15</v>
      </c>
      <c r="J60" s="157">
        <v>34.1</v>
      </c>
      <c r="K60" s="157">
        <v>33.3</v>
      </c>
      <c r="L60" s="157">
        <v>39.7</v>
      </c>
      <c r="M60" s="157">
        <v>31.8</v>
      </c>
      <c r="N60" s="157">
        <v>34.6</v>
      </c>
      <c r="O60" s="157">
        <v>34.3</v>
      </c>
      <c r="Q60" s="128" t="str">
        <f t="shared" si="6"/>
        <v>LFC/%</v>
      </c>
      <c r="R60" s="127">
        <f t="shared" si="7"/>
        <v>4.699999999999996</v>
      </c>
      <c r="S60" s="127">
        <f t="shared" si="7"/>
        <v>1.6000000000000014</v>
      </c>
      <c r="T60" s="127">
        <f t="shared" si="7"/>
        <v>0.3999999999999986</v>
      </c>
      <c r="U60" s="127">
        <f t="shared" si="7"/>
        <v>1.8000000000000007</v>
      </c>
      <c r="V60" s="127">
        <f t="shared" si="7"/>
        <v>3.299999999999997</v>
      </c>
      <c r="W60" s="127">
        <f t="shared" si="7"/>
        <v>1.2000000000000028</v>
      </c>
    </row>
    <row r="61" spans="1:23" ht="12.75">
      <c r="A61" s="134" t="s">
        <v>16</v>
      </c>
      <c r="B61" s="157">
        <v>0.26</v>
      </c>
      <c r="C61" s="157">
        <v>0.36</v>
      </c>
      <c r="D61" s="157">
        <v>0.22</v>
      </c>
      <c r="E61" s="157">
        <v>0.32</v>
      </c>
      <c r="F61" s="157">
        <v>0.27</v>
      </c>
      <c r="G61" s="157">
        <v>0.23</v>
      </c>
      <c r="H61" s="125"/>
      <c r="I61" s="134" t="s">
        <v>16</v>
      </c>
      <c r="J61" s="157">
        <v>0.34</v>
      </c>
      <c r="K61" s="157">
        <v>0.38</v>
      </c>
      <c r="L61" s="157">
        <v>0.22</v>
      </c>
      <c r="M61" s="157">
        <v>0.23</v>
      </c>
      <c r="N61" s="157">
        <v>0.36</v>
      </c>
      <c r="O61" s="157">
        <v>0.28</v>
      </c>
      <c r="Q61" s="128" t="str">
        <f t="shared" si="6"/>
        <v>IACC</v>
      </c>
      <c r="R61" s="127">
        <f t="shared" si="7"/>
        <v>-0.08000000000000002</v>
      </c>
      <c r="S61" s="127">
        <f t="shared" si="7"/>
        <v>-0.020000000000000018</v>
      </c>
      <c r="T61" s="127">
        <f t="shared" si="7"/>
        <v>0</v>
      </c>
      <c r="U61" s="127">
        <f t="shared" si="7"/>
        <v>0.09</v>
      </c>
      <c r="V61" s="127">
        <f t="shared" si="7"/>
        <v>-0.08999999999999997</v>
      </c>
      <c r="W61" s="127">
        <f t="shared" si="7"/>
        <v>-0.05000000000000002</v>
      </c>
    </row>
    <row r="62" spans="5:15" ht="12.75">
      <c r="E62" s="136"/>
      <c r="F62" s="136"/>
      <c r="G62" s="136"/>
      <c r="H62" s="136"/>
      <c r="M62" s="136"/>
      <c r="N62" s="136"/>
      <c r="O62" s="136"/>
    </row>
    <row r="63" spans="1:18" ht="12.75">
      <c r="A63" s="155" t="s">
        <v>20</v>
      </c>
      <c r="B63" s="156" t="s">
        <v>1</v>
      </c>
      <c r="E63" s="136"/>
      <c r="F63" s="136"/>
      <c r="G63" s="136"/>
      <c r="H63" s="136"/>
      <c r="I63" s="155" t="s">
        <v>20</v>
      </c>
      <c r="J63" s="156" t="s">
        <v>1</v>
      </c>
      <c r="M63" s="136"/>
      <c r="N63" s="136"/>
      <c r="O63" s="136"/>
      <c r="Q63" s="128" t="str">
        <f>+A63</f>
        <v>2000 Hz</v>
      </c>
      <c r="R63" s="128" t="str">
        <f>+B63</f>
        <v>octave</v>
      </c>
    </row>
    <row r="64" spans="1:23" ht="12.75">
      <c r="A64" s="142"/>
      <c r="B64" s="140" t="s">
        <v>2</v>
      </c>
      <c r="C64" s="140" t="s">
        <v>3</v>
      </c>
      <c r="D64" s="139" t="s">
        <v>4</v>
      </c>
      <c r="E64" s="139" t="s">
        <v>5</v>
      </c>
      <c r="F64" s="140" t="s">
        <v>6</v>
      </c>
      <c r="G64" s="139" t="s">
        <v>7</v>
      </c>
      <c r="H64" s="141"/>
      <c r="I64" s="142"/>
      <c r="J64" s="140" t="s">
        <v>2</v>
      </c>
      <c r="K64" s="140" t="s">
        <v>3</v>
      </c>
      <c r="L64" s="139" t="s">
        <v>4</v>
      </c>
      <c r="M64" s="139" t="s">
        <v>5</v>
      </c>
      <c r="N64" s="140" t="s">
        <v>6</v>
      </c>
      <c r="O64" s="139" t="s">
        <v>7</v>
      </c>
      <c r="Q64" s="128">
        <f>+A64</f>
        <v>0</v>
      </c>
      <c r="R64" s="128" t="str">
        <f>+B64</f>
        <v>S1R1</v>
      </c>
      <c r="S64" s="128" t="str">
        <f>+C64</f>
        <v>S1R2</v>
      </c>
      <c r="T64" s="128" t="str">
        <f>+D64</f>
        <v>S1R3</v>
      </c>
      <c r="U64" s="128" t="str">
        <f>+E64</f>
        <v>S2R1</v>
      </c>
      <c r="V64" s="128" t="str">
        <f>+F64</f>
        <v>S2R2</v>
      </c>
      <c r="W64" s="128" t="str">
        <f>+G64</f>
        <v>S2R3</v>
      </c>
    </row>
    <row r="65" spans="1:23" ht="12.75">
      <c r="A65" s="130" t="s">
        <v>8</v>
      </c>
      <c r="B65" s="157">
        <v>1.06</v>
      </c>
      <c r="C65" s="157">
        <v>1.07</v>
      </c>
      <c r="D65" s="157">
        <v>1.09</v>
      </c>
      <c r="E65" s="157">
        <v>1.06</v>
      </c>
      <c r="F65" s="157">
        <v>1.06</v>
      </c>
      <c r="G65" s="157">
        <v>1.07</v>
      </c>
      <c r="H65" s="125"/>
      <c r="I65" s="130" t="s">
        <v>8</v>
      </c>
      <c r="J65" s="157">
        <v>0.73</v>
      </c>
      <c r="K65" s="157">
        <v>0.74</v>
      </c>
      <c r="L65" s="157">
        <v>0.74</v>
      </c>
      <c r="M65" s="157">
        <v>0.74</v>
      </c>
      <c r="N65" s="157">
        <v>0.75</v>
      </c>
      <c r="O65" s="157">
        <v>0.75</v>
      </c>
      <c r="Q65" s="128" t="str">
        <f aca="true" t="shared" si="8" ref="Q65:Q73">+A65</f>
        <v>T30/s</v>
      </c>
      <c r="R65" s="127">
        <f aca="true" t="shared" si="9" ref="R65:W73">+B65-J65</f>
        <v>0.33000000000000007</v>
      </c>
      <c r="S65" s="127">
        <f t="shared" si="9"/>
        <v>0.33000000000000007</v>
      </c>
      <c r="T65" s="127">
        <f t="shared" si="9"/>
        <v>0.3500000000000001</v>
      </c>
      <c r="U65" s="127">
        <f t="shared" si="9"/>
        <v>0.32000000000000006</v>
      </c>
      <c r="V65" s="127">
        <f t="shared" si="9"/>
        <v>0.31000000000000005</v>
      </c>
      <c r="W65" s="127">
        <f t="shared" si="9"/>
        <v>0.32000000000000006</v>
      </c>
    </row>
    <row r="66" spans="1:23" ht="12.75">
      <c r="A66" s="130" t="s">
        <v>9</v>
      </c>
      <c r="B66" s="157">
        <v>1.05</v>
      </c>
      <c r="C66" s="157">
        <v>1.03</v>
      </c>
      <c r="D66" s="157">
        <v>1.08</v>
      </c>
      <c r="E66" s="157">
        <v>1.02</v>
      </c>
      <c r="F66" s="157">
        <v>1.04</v>
      </c>
      <c r="G66" s="157">
        <v>1.01</v>
      </c>
      <c r="H66" s="125"/>
      <c r="I66" s="130" t="s">
        <v>9</v>
      </c>
      <c r="J66" s="157">
        <v>0.78</v>
      </c>
      <c r="K66" s="157">
        <v>0.72</v>
      </c>
      <c r="L66" s="157">
        <v>0.74</v>
      </c>
      <c r="M66" s="157">
        <v>0.7</v>
      </c>
      <c r="N66" s="157">
        <v>0.74</v>
      </c>
      <c r="O66" s="157">
        <v>0.72</v>
      </c>
      <c r="Q66" s="128" t="str">
        <f t="shared" si="8"/>
        <v>EDT/s</v>
      </c>
      <c r="R66" s="127">
        <f t="shared" si="9"/>
        <v>0.27</v>
      </c>
      <c r="S66" s="127">
        <f t="shared" si="9"/>
        <v>0.31000000000000005</v>
      </c>
      <c r="T66" s="127">
        <f t="shared" si="9"/>
        <v>0.3400000000000001</v>
      </c>
      <c r="U66" s="127">
        <f t="shared" si="9"/>
        <v>0.32000000000000006</v>
      </c>
      <c r="V66" s="127">
        <f t="shared" si="9"/>
        <v>0.30000000000000004</v>
      </c>
      <c r="W66" s="127">
        <f t="shared" si="9"/>
        <v>0.29000000000000004</v>
      </c>
    </row>
    <row r="67" spans="1:23" ht="12.75">
      <c r="A67" s="130" t="s">
        <v>10</v>
      </c>
      <c r="B67" s="157">
        <v>50.7</v>
      </c>
      <c r="C67" s="157">
        <v>56.7</v>
      </c>
      <c r="D67" s="157">
        <v>51</v>
      </c>
      <c r="E67" s="157">
        <v>59.4</v>
      </c>
      <c r="F67" s="157">
        <v>50.3</v>
      </c>
      <c r="G67" s="157">
        <v>60.8</v>
      </c>
      <c r="H67" s="125"/>
      <c r="I67" s="130" t="s">
        <v>10</v>
      </c>
      <c r="J67" s="157">
        <v>63.8</v>
      </c>
      <c r="K67" s="157">
        <v>70</v>
      </c>
      <c r="L67" s="157">
        <v>62.5</v>
      </c>
      <c r="M67" s="157">
        <v>71.6</v>
      </c>
      <c r="N67" s="157">
        <v>63.7</v>
      </c>
      <c r="O67" s="157">
        <v>69.6</v>
      </c>
      <c r="Q67" s="128" t="str">
        <f t="shared" si="8"/>
        <v>D/%</v>
      </c>
      <c r="R67" s="127">
        <f t="shared" si="9"/>
        <v>-13.099999999999994</v>
      </c>
      <c r="S67" s="127">
        <f t="shared" si="9"/>
        <v>-13.299999999999997</v>
      </c>
      <c r="T67" s="127">
        <f t="shared" si="9"/>
        <v>-11.5</v>
      </c>
      <c r="U67" s="127">
        <f t="shared" si="9"/>
        <v>-12.199999999999996</v>
      </c>
      <c r="V67" s="127">
        <f t="shared" si="9"/>
        <v>-13.400000000000006</v>
      </c>
      <c r="W67" s="127">
        <f t="shared" si="9"/>
        <v>-8.799999999999997</v>
      </c>
    </row>
    <row r="68" spans="1:23" ht="12.75">
      <c r="A68" s="130" t="s">
        <v>11</v>
      </c>
      <c r="B68" s="157">
        <v>3</v>
      </c>
      <c r="C68" s="157">
        <v>3.7</v>
      </c>
      <c r="D68" s="157">
        <v>2.8</v>
      </c>
      <c r="E68" s="157">
        <v>4.2</v>
      </c>
      <c r="F68" s="157">
        <v>3</v>
      </c>
      <c r="G68" s="157">
        <v>4.3</v>
      </c>
      <c r="H68" s="125"/>
      <c r="I68" s="130" t="s">
        <v>11</v>
      </c>
      <c r="J68" s="157">
        <v>5.7</v>
      </c>
      <c r="K68" s="157">
        <v>6.8</v>
      </c>
      <c r="L68" s="157">
        <v>5.6</v>
      </c>
      <c r="M68" s="157">
        <v>6.9</v>
      </c>
      <c r="N68" s="157">
        <v>5.8</v>
      </c>
      <c r="O68" s="157">
        <v>6.5</v>
      </c>
      <c r="Q68" s="128" t="str">
        <f t="shared" si="8"/>
        <v>C/dB</v>
      </c>
      <c r="R68" s="127">
        <f t="shared" si="9"/>
        <v>-2.7</v>
      </c>
      <c r="S68" s="127">
        <f t="shared" si="9"/>
        <v>-3.0999999999999996</v>
      </c>
      <c r="T68" s="127">
        <f t="shared" si="9"/>
        <v>-2.8</v>
      </c>
      <c r="U68" s="127">
        <f t="shared" si="9"/>
        <v>-2.7</v>
      </c>
      <c r="V68" s="127">
        <f t="shared" si="9"/>
        <v>-2.8</v>
      </c>
      <c r="W68" s="127">
        <f t="shared" si="9"/>
        <v>-2.2</v>
      </c>
    </row>
    <row r="69" spans="1:23" ht="12.75">
      <c r="A69" s="130" t="s">
        <v>12</v>
      </c>
      <c r="B69" s="157">
        <v>72.3</v>
      </c>
      <c r="C69" s="157">
        <v>64.9</v>
      </c>
      <c r="D69" s="157">
        <v>74.4</v>
      </c>
      <c r="E69" s="157">
        <v>61.4</v>
      </c>
      <c r="F69" s="157">
        <v>72.9</v>
      </c>
      <c r="G69" s="157">
        <v>61.5</v>
      </c>
      <c r="H69" s="125"/>
      <c r="I69" s="130" t="s">
        <v>12</v>
      </c>
      <c r="J69" s="157">
        <v>49</v>
      </c>
      <c r="K69" s="157">
        <v>42.8</v>
      </c>
      <c r="L69" s="157">
        <v>51.9</v>
      </c>
      <c r="M69" s="157">
        <v>41.4</v>
      </c>
      <c r="N69" s="157">
        <v>49.9</v>
      </c>
      <c r="O69" s="157">
        <v>43.3</v>
      </c>
      <c r="Q69" s="128" t="str">
        <f t="shared" si="8"/>
        <v>TS/ms</v>
      </c>
      <c r="R69" s="127">
        <f t="shared" si="9"/>
        <v>23.299999999999997</v>
      </c>
      <c r="S69" s="127">
        <f t="shared" si="9"/>
        <v>22.10000000000001</v>
      </c>
      <c r="T69" s="127">
        <f t="shared" si="9"/>
        <v>22.500000000000007</v>
      </c>
      <c r="U69" s="127">
        <f t="shared" si="9"/>
        <v>20</v>
      </c>
      <c r="V69" s="127">
        <f t="shared" si="9"/>
        <v>23.000000000000007</v>
      </c>
      <c r="W69" s="127">
        <f t="shared" si="9"/>
        <v>18.200000000000003</v>
      </c>
    </row>
    <row r="70" spans="1:23" ht="12.75">
      <c r="A70" s="130" t="s">
        <v>13</v>
      </c>
      <c r="B70" s="157">
        <v>19.2</v>
      </c>
      <c r="C70" s="157">
        <v>20.4</v>
      </c>
      <c r="D70" s="157">
        <v>19</v>
      </c>
      <c r="E70" s="157">
        <v>20</v>
      </c>
      <c r="F70" s="157">
        <v>19.4</v>
      </c>
      <c r="G70" s="157">
        <v>20.3</v>
      </c>
      <c r="H70" s="125"/>
      <c r="I70" s="130" t="s">
        <v>13</v>
      </c>
      <c r="J70" s="157">
        <v>17.3</v>
      </c>
      <c r="K70" s="157">
        <v>19.2</v>
      </c>
      <c r="L70" s="157">
        <v>17.7</v>
      </c>
      <c r="M70" s="157">
        <v>18.8</v>
      </c>
      <c r="N70" s="157">
        <v>18.3</v>
      </c>
      <c r="O70" s="157">
        <v>19.2</v>
      </c>
      <c r="Q70" s="128" t="str">
        <f t="shared" si="8"/>
        <v>G/dB</v>
      </c>
      <c r="R70" s="127">
        <f t="shared" si="9"/>
        <v>1.8999999999999986</v>
      </c>
      <c r="S70" s="127">
        <f t="shared" si="9"/>
        <v>1.1999999999999993</v>
      </c>
      <c r="T70" s="127">
        <f t="shared" si="9"/>
        <v>1.3000000000000007</v>
      </c>
      <c r="U70" s="127">
        <f t="shared" si="9"/>
        <v>1.1999999999999993</v>
      </c>
      <c r="V70" s="127">
        <f t="shared" si="9"/>
        <v>1.0999999999999979</v>
      </c>
      <c r="W70" s="127">
        <f t="shared" si="9"/>
        <v>1.1000000000000014</v>
      </c>
    </row>
    <row r="71" spans="1:23" ht="12.75">
      <c r="A71" s="130" t="s">
        <v>14</v>
      </c>
      <c r="B71" s="157">
        <v>26.7</v>
      </c>
      <c r="C71" s="157">
        <v>21</v>
      </c>
      <c r="D71" s="157">
        <v>25.8</v>
      </c>
      <c r="E71" s="157">
        <v>23.3</v>
      </c>
      <c r="F71" s="157">
        <v>26.9</v>
      </c>
      <c r="G71" s="157">
        <v>24.1</v>
      </c>
      <c r="H71" s="125"/>
      <c r="I71" s="130" t="s">
        <v>14</v>
      </c>
      <c r="J71" s="157">
        <v>22.5</v>
      </c>
      <c r="K71" s="157">
        <v>23.7</v>
      </c>
      <c r="L71" s="157">
        <v>27.7</v>
      </c>
      <c r="M71" s="157">
        <v>18.9</v>
      </c>
      <c r="N71" s="157">
        <v>22.8</v>
      </c>
      <c r="O71" s="157">
        <v>22.5</v>
      </c>
      <c r="Q71" s="128" t="str">
        <f t="shared" si="8"/>
        <v>LF/%</v>
      </c>
      <c r="R71" s="127">
        <f t="shared" si="9"/>
        <v>4.199999999999999</v>
      </c>
      <c r="S71" s="127">
        <f t="shared" si="9"/>
        <v>-2.6999999999999993</v>
      </c>
      <c r="T71" s="127">
        <f t="shared" si="9"/>
        <v>-1.8999999999999986</v>
      </c>
      <c r="U71" s="127">
        <f t="shared" si="9"/>
        <v>4.400000000000002</v>
      </c>
      <c r="V71" s="127">
        <f t="shared" si="9"/>
        <v>4.099999999999998</v>
      </c>
      <c r="W71" s="127">
        <f t="shared" si="9"/>
        <v>1.6000000000000014</v>
      </c>
    </row>
    <row r="72" spans="1:23" ht="12.75">
      <c r="A72" s="130" t="s">
        <v>15</v>
      </c>
      <c r="B72" s="157">
        <v>38.5</v>
      </c>
      <c r="C72" s="157">
        <v>31.7</v>
      </c>
      <c r="D72" s="157">
        <v>40.1</v>
      </c>
      <c r="E72" s="157">
        <v>34</v>
      </c>
      <c r="F72" s="157">
        <v>40</v>
      </c>
      <c r="G72" s="157">
        <v>35.5</v>
      </c>
      <c r="H72" s="125"/>
      <c r="I72" s="130" t="s">
        <v>15</v>
      </c>
      <c r="J72" s="157">
        <v>33.1</v>
      </c>
      <c r="K72" s="157">
        <v>33.4</v>
      </c>
      <c r="L72" s="157">
        <v>41.5</v>
      </c>
      <c r="M72" s="157">
        <v>28.8</v>
      </c>
      <c r="N72" s="157">
        <v>35.8</v>
      </c>
      <c r="O72" s="157">
        <v>33.3</v>
      </c>
      <c r="Q72" s="128" t="str">
        <f t="shared" si="8"/>
        <v>LFC/%</v>
      </c>
      <c r="R72" s="127">
        <f t="shared" si="9"/>
        <v>5.399999999999999</v>
      </c>
      <c r="S72" s="127">
        <f t="shared" si="9"/>
        <v>-1.6999999999999993</v>
      </c>
      <c r="T72" s="127">
        <f t="shared" si="9"/>
        <v>-1.3999999999999986</v>
      </c>
      <c r="U72" s="127">
        <f t="shared" si="9"/>
        <v>5.199999999999999</v>
      </c>
      <c r="V72" s="127">
        <f t="shared" si="9"/>
        <v>4.200000000000003</v>
      </c>
      <c r="W72" s="127">
        <f t="shared" si="9"/>
        <v>2.200000000000003</v>
      </c>
    </row>
    <row r="73" spans="1:23" ht="12.75">
      <c r="A73" s="134" t="s">
        <v>16</v>
      </c>
      <c r="B73" s="157">
        <v>0.27</v>
      </c>
      <c r="C73" s="157">
        <v>0.37</v>
      </c>
      <c r="D73" s="157">
        <v>0.14</v>
      </c>
      <c r="E73" s="157">
        <v>0.36</v>
      </c>
      <c r="F73" s="157">
        <v>0.26</v>
      </c>
      <c r="G73" s="157">
        <v>0.38</v>
      </c>
      <c r="H73" s="125"/>
      <c r="I73" s="134" t="s">
        <v>16</v>
      </c>
      <c r="J73" s="157">
        <v>0.52</v>
      </c>
      <c r="K73" s="157">
        <v>0.39</v>
      </c>
      <c r="L73" s="157">
        <v>0.23</v>
      </c>
      <c r="M73" s="157">
        <v>0.46</v>
      </c>
      <c r="N73" s="157">
        <v>0.42</v>
      </c>
      <c r="O73" s="157">
        <v>0.43</v>
      </c>
      <c r="Q73" s="128" t="str">
        <f t="shared" si="8"/>
        <v>IACC</v>
      </c>
      <c r="R73" s="127">
        <f t="shared" si="9"/>
        <v>-0.25</v>
      </c>
      <c r="S73" s="127">
        <f t="shared" si="9"/>
        <v>-0.020000000000000018</v>
      </c>
      <c r="T73" s="127">
        <f t="shared" si="9"/>
        <v>-0.09</v>
      </c>
      <c r="U73" s="127">
        <f t="shared" si="9"/>
        <v>-0.10000000000000003</v>
      </c>
      <c r="V73" s="127">
        <f t="shared" si="9"/>
        <v>-0.15999999999999998</v>
      </c>
      <c r="W73" s="127">
        <f t="shared" si="9"/>
        <v>-0.04999999999999999</v>
      </c>
    </row>
    <row r="74" spans="5:15" ht="12.75">
      <c r="E74" s="136"/>
      <c r="F74" s="136"/>
      <c r="G74" s="136"/>
      <c r="H74" s="136"/>
      <c r="M74" s="136"/>
      <c r="N74" s="136"/>
      <c r="O74" s="136"/>
    </row>
    <row r="75" spans="1:18" ht="12.75">
      <c r="A75" s="155" t="s">
        <v>21</v>
      </c>
      <c r="B75" s="156" t="s">
        <v>1</v>
      </c>
      <c r="E75" s="136"/>
      <c r="F75" s="136"/>
      <c r="G75" s="136"/>
      <c r="H75" s="136"/>
      <c r="I75" s="155" t="s">
        <v>21</v>
      </c>
      <c r="J75" s="156" t="s">
        <v>1</v>
      </c>
      <c r="M75" s="136"/>
      <c r="N75" s="136"/>
      <c r="O75" s="136"/>
      <c r="Q75" s="128" t="str">
        <f>+A75</f>
        <v>4000 Hz</v>
      </c>
      <c r="R75" s="128" t="str">
        <f>+B75</f>
        <v>octave</v>
      </c>
    </row>
    <row r="76" spans="1:23" ht="12.75">
      <c r="A76" s="142"/>
      <c r="B76" s="140" t="s">
        <v>2</v>
      </c>
      <c r="C76" s="140" t="s">
        <v>3</v>
      </c>
      <c r="D76" s="139" t="s">
        <v>4</v>
      </c>
      <c r="E76" s="139" t="s">
        <v>5</v>
      </c>
      <c r="F76" s="140" t="s">
        <v>6</v>
      </c>
      <c r="G76" s="139" t="s">
        <v>7</v>
      </c>
      <c r="H76" s="141"/>
      <c r="I76" s="142"/>
      <c r="J76" s="140" t="s">
        <v>2</v>
      </c>
      <c r="K76" s="140" t="s">
        <v>3</v>
      </c>
      <c r="L76" s="139" t="s">
        <v>4</v>
      </c>
      <c r="M76" s="139" t="s">
        <v>5</v>
      </c>
      <c r="N76" s="140" t="s">
        <v>6</v>
      </c>
      <c r="O76" s="139" t="s">
        <v>7</v>
      </c>
      <c r="Q76" s="128">
        <f>+A76</f>
        <v>0</v>
      </c>
      <c r="R76" s="128" t="str">
        <f>+B76</f>
        <v>S1R1</v>
      </c>
      <c r="S76" s="128" t="str">
        <f>+C76</f>
        <v>S1R2</v>
      </c>
      <c r="T76" s="128" t="str">
        <f>+D76</f>
        <v>S1R3</v>
      </c>
      <c r="U76" s="128" t="str">
        <f>+E76</f>
        <v>S2R1</v>
      </c>
      <c r="V76" s="128" t="str">
        <f>+F76</f>
        <v>S2R2</v>
      </c>
      <c r="W76" s="128" t="str">
        <f>+G76</f>
        <v>S2R3</v>
      </c>
    </row>
    <row r="77" spans="1:23" ht="12.75">
      <c r="A77" s="130" t="s">
        <v>8</v>
      </c>
      <c r="B77" s="157">
        <v>0.91</v>
      </c>
      <c r="C77" s="157">
        <v>0.91</v>
      </c>
      <c r="D77" s="157">
        <v>0.91</v>
      </c>
      <c r="E77" s="157">
        <v>0.91</v>
      </c>
      <c r="F77" s="157">
        <v>0.92</v>
      </c>
      <c r="G77" s="157">
        <v>0.93</v>
      </c>
      <c r="H77" s="125"/>
      <c r="I77" s="130" t="s">
        <v>8</v>
      </c>
      <c r="J77" s="157">
        <v>0.63</v>
      </c>
      <c r="K77" s="157">
        <v>0.62</v>
      </c>
      <c r="L77" s="157">
        <v>0.63</v>
      </c>
      <c r="M77" s="157">
        <v>0.63</v>
      </c>
      <c r="N77" s="157">
        <v>0.64</v>
      </c>
      <c r="O77" s="157">
        <v>0.64</v>
      </c>
      <c r="Q77" s="128" t="str">
        <f aca="true" t="shared" si="10" ref="Q77:Q85">+A77</f>
        <v>T30/s</v>
      </c>
      <c r="R77" s="127">
        <f aca="true" t="shared" si="11" ref="R77:W85">+B77-J77</f>
        <v>0.28</v>
      </c>
      <c r="S77" s="127">
        <f t="shared" si="11"/>
        <v>0.29000000000000004</v>
      </c>
      <c r="T77" s="127">
        <f t="shared" si="11"/>
        <v>0.28</v>
      </c>
      <c r="U77" s="127">
        <f t="shared" si="11"/>
        <v>0.28</v>
      </c>
      <c r="V77" s="127">
        <f t="shared" si="11"/>
        <v>0.28</v>
      </c>
      <c r="W77" s="127">
        <f t="shared" si="11"/>
        <v>0.29000000000000004</v>
      </c>
    </row>
    <row r="78" spans="1:23" ht="12.75">
      <c r="A78" s="130" t="s">
        <v>9</v>
      </c>
      <c r="B78" s="157">
        <v>0.91</v>
      </c>
      <c r="C78" s="157">
        <v>0.92</v>
      </c>
      <c r="D78" s="157">
        <v>0.93</v>
      </c>
      <c r="E78" s="157">
        <v>0.9</v>
      </c>
      <c r="F78" s="157">
        <v>0.89</v>
      </c>
      <c r="G78" s="157">
        <v>0.85</v>
      </c>
      <c r="H78" s="125"/>
      <c r="I78" s="130" t="s">
        <v>9</v>
      </c>
      <c r="J78" s="157">
        <v>0.61</v>
      </c>
      <c r="K78" s="157">
        <v>0.59</v>
      </c>
      <c r="L78" s="157">
        <v>0.62</v>
      </c>
      <c r="M78" s="157">
        <v>0.62</v>
      </c>
      <c r="N78" s="157">
        <v>0.68</v>
      </c>
      <c r="O78" s="157">
        <v>0.59</v>
      </c>
      <c r="Q78" s="128" t="str">
        <f t="shared" si="10"/>
        <v>EDT/s</v>
      </c>
      <c r="R78" s="127">
        <f t="shared" si="11"/>
        <v>0.30000000000000004</v>
      </c>
      <c r="S78" s="127">
        <f t="shared" si="11"/>
        <v>0.33000000000000007</v>
      </c>
      <c r="T78" s="127">
        <f t="shared" si="11"/>
        <v>0.31000000000000005</v>
      </c>
      <c r="U78" s="127">
        <f t="shared" si="11"/>
        <v>0.28</v>
      </c>
      <c r="V78" s="127">
        <f t="shared" si="11"/>
        <v>0.20999999999999996</v>
      </c>
      <c r="W78" s="127">
        <f t="shared" si="11"/>
        <v>0.26</v>
      </c>
    </row>
    <row r="79" spans="1:23" ht="12.75">
      <c r="A79" s="130" t="s">
        <v>10</v>
      </c>
      <c r="B79" s="157">
        <v>55.8</v>
      </c>
      <c r="C79" s="157">
        <v>62.5</v>
      </c>
      <c r="D79" s="157">
        <v>53.9</v>
      </c>
      <c r="E79" s="157">
        <v>62.9</v>
      </c>
      <c r="F79" s="157">
        <v>57.6</v>
      </c>
      <c r="G79" s="157">
        <v>64.3</v>
      </c>
      <c r="H79" s="125"/>
      <c r="I79" s="130" t="s">
        <v>10</v>
      </c>
      <c r="J79" s="157">
        <v>72.2</v>
      </c>
      <c r="K79" s="157">
        <v>75.2</v>
      </c>
      <c r="L79" s="157">
        <v>70</v>
      </c>
      <c r="M79" s="157">
        <v>74.1</v>
      </c>
      <c r="N79" s="157">
        <v>66</v>
      </c>
      <c r="O79" s="157">
        <v>75.6</v>
      </c>
      <c r="Q79" s="128" t="str">
        <f t="shared" si="10"/>
        <v>D/%</v>
      </c>
      <c r="R79" s="127">
        <f t="shared" si="11"/>
        <v>-16.400000000000006</v>
      </c>
      <c r="S79" s="127">
        <f t="shared" si="11"/>
        <v>-12.700000000000003</v>
      </c>
      <c r="T79" s="127">
        <f t="shared" si="11"/>
        <v>-16.1</v>
      </c>
      <c r="U79" s="127">
        <f t="shared" si="11"/>
        <v>-11.199999999999996</v>
      </c>
      <c r="V79" s="127">
        <f t="shared" si="11"/>
        <v>-8.399999999999999</v>
      </c>
      <c r="W79" s="127">
        <f t="shared" si="11"/>
        <v>-11.299999999999997</v>
      </c>
    </row>
    <row r="80" spans="1:23" ht="12.75">
      <c r="A80" s="130" t="s">
        <v>11</v>
      </c>
      <c r="B80" s="157">
        <v>4.1</v>
      </c>
      <c r="C80" s="157">
        <v>4.8</v>
      </c>
      <c r="D80" s="157">
        <v>3.8</v>
      </c>
      <c r="E80" s="157">
        <v>5.3</v>
      </c>
      <c r="F80" s="157">
        <v>4.3</v>
      </c>
      <c r="G80" s="157">
        <v>5.4</v>
      </c>
      <c r="H80" s="125"/>
      <c r="I80" s="130" t="s">
        <v>11</v>
      </c>
      <c r="J80" s="157">
        <v>7.6</v>
      </c>
      <c r="K80" s="157">
        <v>8.4</v>
      </c>
      <c r="L80" s="157">
        <v>7.1</v>
      </c>
      <c r="M80" s="157">
        <v>8.2</v>
      </c>
      <c r="N80" s="157">
        <v>6.6</v>
      </c>
      <c r="O80" s="157">
        <v>8.3</v>
      </c>
      <c r="Q80" s="128" t="str">
        <f t="shared" si="10"/>
        <v>C/dB</v>
      </c>
      <c r="R80" s="127">
        <f t="shared" si="11"/>
        <v>-3.5</v>
      </c>
      <c r="S80" s="127">
        <f t="shared" si="11"/>
        <v>-3.6000000000000005</v>
      </c>
      <c r="T80" s="127">
        <f t="shared" si="11"/>
        <v>-3.3</v>
      </c>
      <c r="U80" s="127">
        <f t="shared" si="11"/>
        <v>-2.8999999999999995</v>
      </c>
      <c r="V80" s="127">
        <f t="shared" si="11"/>
        <v>-2.3</v>
      </c>
      <c r="W80" s="127">
        <f t="shared" si="11"/>
        <v>-2.9000000000000004</v>
      </c>
    </row>
    <row r="81" spans="1:23" ht="12.75">
      <c r="A81" s="130" t="s">
        <v>12</v>
      </c>
      <c r="B81" s="157">
        <v>61.6</v>
      </c>
      <c r="C81" s="157">
        <v>55</v>
      </c>
      <c r="D81" s="157">
        <v>65</v>
      </c>
      <c r="E81" s="157">
        <v>52</v>
      </c>
      <c r="F81" s="157">
        <v>61.1</v>
      </c>
      <c r="G81" s="157">
        <v>51.6</v>
      </c>
      <c r="H81" s="125"/>
      <c r="I81" s="130" t="s">
        <v>12</v>
      </c>
      <c r="J81" s="157">
        <v>39.6</v>
      </c>
      <c r="K81" s="157">
        <v>35.4</v>
      </c>
      <c r="L81" s="157">
        <v>42.9</v>
      </c>
      <c r="M81" s="157">
        <v>35.1</v>
      </c>
      <c r="N81" s="157">
        <v>43.7</v>
      </c>
      <c r="O81" s="157">
        <v>35.7</v>
      </c>
      <c r="Q81" s="128" t="str">
        <f t="shared" si="10"/>
        <v>TS/ms</v>
      </c>
      <c r="R81" s="127">
        <f t="shared" si="11"/>
        <v>22</v>
      </c>
      <c r="S81" s="127">
        <f t="shared" si="11"/>
        <v>19.6</v>
      </c>
      <c r="T81" s="127">
        <f t="shared" si="11"/>
        <v>22.1</v>
      </c>
      <c r="U81" s="127">
        <f t="shared" si="11"/>
        <v>16.9</v>
      </c>
      <c r="V81" s="127">
        <f t="shared" si="11"/>
        <v>17.4</v>
      </c>
      <c r="W81" s="127">
        <f t="shared" si="11"/>
        <v>15.899999999999999</v>
      </c>
    </row>
    <row r="82" spans="1:23" ht="12.75">
      <c r="A82" s="130" t="s">
        <v>13</v>
      </c>
      <c r="B82" s="157">
        <v>18.5</v>
      </c>
      <c r="C82" s="157">
        <v>19.8</v>
      </c>
      <c r="D82" s="157">
        <v>18.4</v>
      </c>
      <c r="E82" s="157">
        <v>19.5</v>
      </c>
      <c r="F82" s="157">
        <v>18.9</v>
      </c>
      <c r="G82" s="157">
        <v>19.9</v>
      </c>
      <c r="H82" s="125"/>
      <c r="I82" s="130" t="s">
        <v>13</v>
      </c>
      <c r="J82" s="157">
        <v>17.2</v>
      </c>
      <c r="K82" s="157">
        <v>19</v>
      </c>
      <c r="L82" s="157">
        <v>17.2</v>
      </c>
      <c r="M82" s="157">
        <v>18.2</v>
      </c>
      <c r="N82" s="157">
        <v>17.3</v>
      </c>
      <c r="O82" s="157">
        <v>18.8</v>
      </c>
      <c r="Q82" s="128" t="str">
        <f t="shared" si="10"/>
        <v>G/dB</v>
      </c>
      <c r="R82" s="127">
        <f t="shared" si="11"/>
        <v>1.3000000000000007</v>
      </c>
      <c r="S82" s="127">
        <f t="shared" si="11"/>
        <v>0.8000000000000007</v>
      </c>
      <c r="T82" s="127">
        <f t="shared" si="11"/>
        <v>1.1999999999999993</v>
      </c>
      <c r="U82" s="127">
        <f t="shared" si="11"/>
        <v>1.3000000000000007</v>
      </c>
      <c r="V82" s="127">
        <f t="shared" si="11"/>
        <v>1.5999999999999979</v>
      </c>
      <c r="W82" s="127">
        <f t="shared" si="11"/>
        <v>1.0999999999999979</v>
      </c>
    </row>
    <row r="83" spans="1:23" ht="12.75">
      <c r="A83" s="130" t="s">
        <v>14</v>
      </c>
      <c r="B83" s="157">
        <v>24.7</v>
      </c>
      <c r="C83" s="157">
        <v>22.3</v>
      </c>
      <c r="D83" s="157">
        <v>23.6</v>
      </c>
      <c r="E83" s="157">
        <v>21.2</v>
      </c>
      <c r="F83" s="157">
        <v>24.7</v>
      </c>
      <c r="G83" s="157">
        <v>27</v>
      </c>
      <c r="H83" s="125"/>
      <c r="I83" s="130" t="s">
        <v>14</v>
      </c>
      <c r="J83" s="157">
        <v>21.8</v>
      </c>
      <c r="K83" s="157">
        <v>22.7</v>
      </c>
      <c r="L83" s="157">
        <v>26</v>
      </c>
      <c r="M83" s="157">
        <v>17.8</v>
      </c>
      <c r="N83" s="157">
        <v>24.4</v>
      </c>
      <c r="O83" s="157">
        <v>22.8</v>
      </c>
      <c r="Q83" s="128" t="str">
        <f t="shared" si="10"/>
        <v>LF/%</v>
      </c>
      <c r="R83" s="127">
        <f t="shared" si="11"/>
        <v>2.8999999999999986</v>
      </c>
      <c r="S83" s="127">
        <f t="shared" si="11"/>
        <v>-0.3999999999999986</v>
      </c>
      <c r="T83" s="127">
        <f t="shared" si="11"/>
        <v>-2.3999999999999986</v>
      </c>
      <c r="U83" s="127">
        <f t="shared" si="11"/>
        <v>3.3999999999999986</v>
      </c>
      <c r="V83" s="127">
        <f t="shared" si="11"/>
        <v>0.3000000000000007</v>
      </c>
      <c r="W83" s="127">
        <f t="shared" si="11"/>
        <v>4.199999999999999</v>
      </c>
    </row>
    <row r="84" spans="1:23" ht="12.75">
      <c r="A84" s="130" t="s">
        <v>15</v>
      </c>
      <c r="B84" s="157">
        <v>35.9</v>
      </c>
      <c r="C84" s="157">
        <v>32.5</v>
      </c>
      <c r="D84" s="157">
        <v>37.8</v>
      </c>
      <c r="E84" s="157">
        <v>30.9</v>
      </c>
      <c r="F84" s="157">
        <v>37.1</v>
      </c>
      <c r="G84" s="157">
        <v>37.9</v>
      </c>
      <c r="H84" s="125"/>
      <c r="I84" s="130" t="s">
        <v>15</v>
      </c>
      <c r="J84" s="157">
        <v>32.7</v>
      </c>
      <c r="K84" s="157">
        <v>32.2</v>
      </c>
      <c r="L84" s="157">
        <v>39.3</v>
      </c>
      <c r="M84" s="157">
        <v>27.3</v>
      </c>
      <c r="N84" s="157">
        <v>35.8</v>
      </c>
      <c r="O84" s="157">
        <v>34.1</v>
      </c>
      <c r="Q84" s="128" t="str">
        <f t="shared" si="10"/>
        <v>LFC/%</v>
      </c>
      <c r="R84" s="127">
        <f t="shared" si="11"/>
        <v>3.1999999999999957</v>
      </c>
      <c r="S84" s="127">
        <f t="shared" si="11"/>
        <v>0.29999999999999716</v>
      </c>
      <c r="T84" s="127">
        <f t="shared" si="11"/>
        <v>-1.5</v>
      </c>
      <c r="U84" s="127">
        <f t="shared" si="11"/>
        <v>3.599999999999998</v>
      </c>
      <c r="V84" s="127">
        <f t="shared" si="11"/>
        <v>1.3000000000000043</v>
      </c>
      <c r="W84" s="127">
        <f t="shared" si="11"/>
        <v>3.799999999999997</v>
      </c>
    </row>
    <row r="85" spans="1:23" ht="12.75">
      <c r="A85" s="134" t="s">
        <v>16</v>
      </c>
      <c r="B85" s="157">
        <v>0.3</v>
      </c>
      <c r="C85" s="157">
        <v>0.39</v>
      </c>
      <c r="D85" s="157">
        <v>0.18</v>
      </c>
      <c r="E85" s="157">
        <v>0.35</v>
      </c>
      <c r="F85" s="157">
        <v>0.34</v>
      </c>
      <c r="G85" s="157">
        <v>0.36</v>
      </c>
      <c r="H85" s="125"/>
      <c r="I85" s="134" t="s">
        <v>16</v>
      </c>
      <c r="J85" s="157">
        <v>0.37</v>
      </c>
      <c r="K85" s="157">
        <v>0.4</v>
      </c>
      <c r="L85" s="157">
        <v>0.2</v>
      </c>
      <c r="M85" s="157">
        <v>0.38</v>
      </c>
      <c r="N85" s="157">
        <v>0.39</v>
      </c>
      <c r="O85" s="157">
        <v>0.41</v>
      </c>
      <c r="Q85" s="128" t="str">
        <f t="shared" si="10"/>
        <v>IACC</v>
      </c>
      <c r="R85" s="127">
        <f t="shared" si="11"/>
        <v>-0.07</v>
      </c>
      <c r="S85" s="127">
        <f t="shared" si="11"/>
        <v>-0.010000000000000009</v>
      </c>
      <c r="T85" s="127">
        <f t="shared" si="11"/>
        <v>-0.020000000000000018</v>
      </c>
      <c r="U85" s="127">
        <f t="shared" si="11"/>
        <v>-0.030000000000000027</v>
      </c>
      <c r="V85" s="127">
        <f t="shared" si="11"/>
        <v>-0.04999999999999999</v>
      </c>
      <c r="W85" s="127">
        <f t="shared" si="11"/>
        <v>-0.04999999999999999</v>
      </c>
    </row>
    <row r="86" spans="5:15" ht="12.75">
      <c r="E86" s="136"/>
      <c r="F86" s="136"/>
      <c r="G86" s="136"/>
      <c r="H86" s="136"/>
      <c r="M86" s="136"/>
      <c r="N86" s="136"/>
      <c r="O86" s="136"/>
    </row>
    <row r="87" spans="5:15" ht="12.75">
      <c r="E87" s="136"/>
      <c r="F87" s="136"/>
      <c r="G87" s="136"/>
      <c r="H87" s="136"/>
      <c r="M87" s="136"/>
      <c r="N87" s="136"/>
      <c r="O87" s="136"/>
    </row>
    <row r="88" spans="1:15" ht="12.75">
      <c r="A88" s="146"/>
      <c r="E88" s="136"/>
      <c r="F88" s="136"/>
      <c r="G88" s="136"/>
      <c r="H88" s="136"/>
      <c r="I88" s="146"/>
      <c r="M88" s="136"/>
      <c r="N88" s="136"/>
      <c r="O88" s="136"/>
    </row>
    <row r="89" spans="5:15" ht="12.75">
      <c r="E89" s="136"/>
      <c r="F89" s="136"/>
      <c r="G89" s="136"/>
      <c r="H89" s="136"/>
      <c r="M89" s="136"/>
      <c r="N89" s="136"/>
      <c r="O89" s="136"/>
    </row>
    <row r="90" spans="5:15" ht="12.75">
      <c r="E90" s="136"/>
      <c r="F90" s="136"/>
      <c r="G90" s="136"/>
      <c r="H90" s="136"/>
      <c r="M90" s="136"/>
      <c r="N90" s="136"/>
      <c r="O90" s="136"/>
    </row>
    <row r="91" spans="5:15" ht="12.75">
      <c r="E91" s="136"/>
      <c r="F91" s="136"/>
      <c r="G91" s="136"/>
      <c r="H91" s="136"/>
      <c r="M91" s="136"/>
      <c r="N91" s="136"/>
      <c r="O91" s="136"/>
    </row>
    <row r="92" spans="5:15" ht="12.75">
      <c r="E92" s="136"/>
      <c r="F92" s="136"/>
      <c r="G92" s="136"/>
      <c r="H92" s="136"/>
      <c r="M92" s="136"/>
      <c r="N92" s="136"/>
      <c r="O92" s="136"/>
    </row>
    <row r="93" spans="5:15" ht="12.75">
      <c r="E93" s="136"/>
      <c r="F93" s="136"/>
      <c r="G93" s="136"/>
      <c r="H93" s="136"/>
      <c r="M93" s="136"/>
      <c r="N93" s="136"/>
      <c r="O93" s="136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2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W93"/>
  <sheetViews>
    <sheetView zoomScale="75" zoomScaleNormal="75" workbookViewId="0" topLeftCell="A1">
      <selection activeCell="F37" sqref="F37"/>
    </sheetView>
  </sheetViews>
  <sheetFormatPr defaultColWidth="11.5546875" defaultRowHeight="15"/>
  <cols>
    <col min="1" max="1" width="7.77734375" style="128" customWidth="1"/>
    <col min="2" max="2" width="6.77734375" style="128" customWidth="1"/>
    <col min="3" max="3" width="7.99609375" style="128" customWidth="1"/>
    <col min="4" max="5" width="6.77734375" style="128" customWidth="1"/>
    <col min="6" max="6" width="8.10546875" style="128" customWidth="1"/>
    <col min="7" max="7" width="6.5546875" style="128" customWidth="1"/>
    <col min="8" max="15" width="6.77734375" style="128" customWidth="1"/>
    <col min="16" max="17" width="11.5546875" style="128" customWidth="1" collapsed="1"/>
    <col min="18" max="43" width="11.5546875" style="128" customWidth="1"/>
    <col min="44" max="16384" width="7.10546875" style="157" customWidth="1"/>
  </cols>
  <sheetData>
    <row r="1" spans="1:10" ht="13.5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2" ht="13.5" thickBot="1">
      <c r="A2" s="3"/>
      <c r="B2" s="4"/>
    </row>
    <row r="3" ht="12.75">
      <c r="B3" s="347"/>
    </row>
    <row r="4" spans="2:5" ht="12.75">
      <c r="B4" s="348"/>
      <c r="E4" s="348"/>
    </row>
    <row r="5" spans="1:7" ht="12.75">
      <c r="A5" s="150"/>
      <c r="B5" s="151"/>
      <c r="C5" s="349"/>
      <c r="D5" s="152"/>
      <c r="G5" s="150"/>
    </row>
    <row r="6" spans="1:2" ht="12.75">
      <c r="A6" s="153"/>
      <c r="B6" s="151"/>
    </row>
    <row r="7" spans="2:4" ht="12.75">
      <c r="B7" s="151"/>
      <c r="D7" s="151"/>
    </row>
    <row r="8" spans="1:3" ht="12.75">
      <c r="A8" s="150"/>
      <c r="B8" s="151"/>
      <c r="C8" s="151"/>
    </row>
    <row r="12" spans="1:2" ht="12.75">
      <c r="A12" s="82"/>
      <c r="B12" s="82"/>
    </row>
    <row r="14" spans="1:17" ht="12.75">
      <c r="A14" s="128" t="s">
        <v>27</v>
      </c>
      <c r="I14" s="128" t="s">
        <v>28</v>
      </c>
      <c r="Q14" s="128" t="s">
        <v>32</v>
      </c>
    </row>
    <row r="15" spans="1:18" ht="16.5" customHeight="1">
      <c r="A15" s="155" t="s">
        <v>0</v>
      </c>
      <c r="B15" s="156" t="s">
        <v>1</v>
      </c>
      <c r="E15" s="136"/>
      <c r="F15" s="136"/>
      <c r="G15" s="136"/>
      <c r="H15" s="136"/>
      <c r="I15" s="155" t="s">
        <v>0</v>
      </c>
      <c r="J15" s="156" t="s">
        <v>1</v>
      </c>
      <c r="M15" s="136"/>
      <c r="N15" s="136"/>
      <c r="O15" s="136"/>
      <c r="Q15" s="128" t="str">
        <f>+A15</f>
        <v>125 Hz</v>
      </c>
      <c r="R15" s="128" t="str">
        <f>+B15</f>
        <v>octave</v>
      </c>
    </row>
    <row r="16" spans="1:23" ht="24.75" customHeight="1">
      <c r="A16" s="142"/>
      <c r="B16" s="140" t="s">
        <v>2</v>
      </c>
      <c r="C16" s="140" t="s">
        <v>3</v>
      </c>
      <c r="D16" s="139" t="s">
        <v>4</v>
      </c>
      <c r="E16" s="139" t="s">
        <v>5</v>
      </c>
      <c r="F16" s="140" t="s">
        <v>6</v>
      </c>
      <c r="G16" s="139" t="s">
        <v>7</v>
      </c>
      <c r="H16" s="141"/>
      <c r="I16" s="142"/>
      <c r="J16" s="140" t="s">
        <v>2</v>
      </c>
      <c r="K16" s="350" t="s">
        <v>3</v>
      </c>
      <c r="L16" s="351" t="s">
        <v>4</v>
      </c>
      <c r="M16" s="139" t="s">
        <v>5</v>
      </c>
      <c r="N16" s="140" t="s">
        <v>6</v>
      </c>
      <c r="O16" s="139" t="s">
        <v>7</v>
      </c>
      <c r="P16" s="157"/>
      <c r="Q16" s="128">
        <f>+A16</f>
        <v>0</v>
      </c>
      <c r="R16" s="128" t="str">
        <f>+B16</f>
        <v>S1R1</v>
      </c>
      <c r="S16" s="128" t="str">
        <f>+C16</f>
        <v>S1R2</v>
      </c>
      <c r="T16" s="128" t="str">
        <f>+D16</f>
        <v>S1R3</v>
      </c>
      <c r="U16" s="128" t="str">
        <f>+E16</f>
        <v>S2R1</v>
      </c>
      <c r="V16" s="128" t="str">
        <f>+F16</f>
        <v>S2R2</v>
      </c>
      <c r="W16" s="128" t="str">
        <f>+G16</f>
        <v>S2R3</v>
      </c>
    </row>
    <row r="17" spans="1:23" ht="12.75">
      <c r="A17" s="130" t="s">
        <v>8</v>
      </c>
      <c r="B17" s="157">
        <v>0.93</v>
      </c>
      <c r="C17" s="157">
        <v>0.89</v>
      </c>
      <c r="D17" s="157">
        <v>0.9</v>
      </c>
      <c r="E17" s="157">
        <v>0.9</v>
      </c>
      <c r="F17" s="157">
        <v>0.91</v>
      </c>
      <c r="G17" s="157">
        <v>0.9</v>
      </c>
      <c r="H17" s="125"/>
      <c r="I17" s="130" t="s">
        <v>8</v>
      </c>
      <c r="J17" s="157">
        <v>0.82</v>
      </c>
      <c r="K17" s="157">
        <v>0.83</v>
      </c>
      <c r="L17" s="157">
        <v>0.83</v>
      </c>
      <c r="M17" s="157">
        <v>0.8</v>
      </c>
      <c r="N17" s="157">
        <v>0.81</v>
      </c>
      <c r="O17" s="157">
        <v>0.8</v>
      </c>
      <c r="P17" s="158"/>
      <c r="Q17" s="128" t="str">
        <f aca="true" t="shared" si="0" ref="Q17:Q25">+A17</f>
        <v>T30/s</v>
      </c>
      <c r="R17" s="127">
        <f aca="true" t="shared" si="1" ref="R17:W25">+B17-J17</f>
        <v>0.1100000000000001</v>
      </c>
      <c r="S17" s="127">
        <f t="shared" si="1"/>
        <v>0.06000000000000005</v>
      </c>
      <c r="T17" s="127">
        <f t="shared" si="1"/>
        <v>0.07000000000000006</v>
      </c>
      <c r="U17" s="127">
        <f t="shared" si="1"/>
        <v>0.09999999999999998</v>
      </c>
      <c r="V17" s="127">
        <f t="shared" si="1"/>
        <v>0.09999999999999998</v>
      </c>
      <c r="W17" s="127">
        <f t="shared" si="1"/>
        <v>0.09999999999999998</v>
      </c>
    </row>
    <row r="18" spans="1:23" ht="12.75">
      <c r="A18" s="130" t="s">
        <v>9</v>
      </c>
      <c r="B18" s="157">
        <v>0.87</v>
      </c>
      <c r="C18" s="157">
        <v>0.9</v>
      </c>
      <c r="D18" s="157">
        <v>0.9</v>
      </c>
      <c r="E18" s="157">
        <v>0.86</v>
      </c>
      <c r="F18" s="157">
        <v>0.88</v>
      </c>
      <c r="G18" s="157">
        <v>0.84</v>
      </c>
      <c r="H18" s="125"/>
      <c r="I18" s="130" t="s">
        <v>9</v>
      </c>
      <c r="J18" s="157">
        <v>0.78</v>
      </c>
      <c r="K18" s="157">
        <v>0.8</v>
      </c>
      <c r="L18" s="157">
        <v>0.81</v>
      </c>
      <c r="M18" s="157">
        <v>0.76</v>
      </c>
      <c r="N18" s="157">
        <v>0.79</v>
      </c>
      <c r="O18" s="157">
        <v>0.76</v>
      </c>
      <c r="P18" s="158"/>
      <c r="Q18" s="128" t="str">
        <f t="shared" si="0"/>
        <v>EDT/s</v>
      </c>
      <c r="R18" s="127">
        <f t="shared" si="1"/>
        <v>0.08999999999999997</v>
      </c>
      <c r="S18" s="127">
        <f t="shared" si="1"/>
        <v>0.09999999999999998</v>
      </c>
      <c r="T18" s="127">
        <f t="shared" si="1"/>
        <v>0.08999999999999997</v>
      </c>
      <c r="U18" s="127">
        <f t="shared" si="1"/>
        <v>0.09999999999999998</v>
      </c>
      <c r="V18" s="127">
        <f t="shared" si="1"/>
        <v>0.08999999999999997</v>
      </c>
      <c r="W18" s="127">
        <f t="shared" si="1"/>
        <v>0.07999999999999996</v>
      </c>
    </row>
    <row r="19" spans="1:23" ht="12.75">
      <c r="A19" s="130" t="s">
        <v>10</v>
      </c>
      <c r="B19" s="157">
        <v>59.06</v>
      </c>
      <c r="C19" s="157">
        <v>61.61</v>
      </c>
      <c r="D19" s="157">
        <v>54.99</v>
      </c>
      <c r="E19" s="157">
        <v>63.34</v>
      </c>
      <c r="F19" s="157">
        <v>57.68</v>
      </c>
      <c r="G19" s="157">
        <v>64.2</v>
      </c>
      <c r="H19" s="125"/>
      <c r="I19" s="130" t="s">
        <v>10</v>
      </c>
      <c r="J19" s="157">
        <v>63.39</v>
      </c>
      <c r="K19" s="157">
        <v>64.99</v>
      </c>
      <c r="L19" s="157">
        <v>59.55</v>
      </c>
      <c r="M19" s="157">
        <v>66.63</v>
      </c>
      <c r="N19" s="157">
        <v>61.79</v>
      </c>
      <c r="O19" s="157">
        <v>67.83</v>
      </c>
      <c r="P19" s="158"/>
      <c r="Q19" s="128" t="str">
        <f t="shared" si="0"/>
        <v>D/%</v>
      </c>
      <c r="R19" s="127">
        <f t="shared" si="1"/>
        <v>-4.329999999999998</v>
      </c>
      <c r="S19" s="127">
        <f t="shared" si="1"/>
        <v>-3.3799999999999955</v>
      </c>
      <c r="T19" s="127">
        <f t="shared" si="1"/>
        <v>-4.559999999999995</v>
      </c>
      <c r="U19" s="127">
        <f t="shared" si="1"/>
        <v>-3.289999999999992</v>
      </c>
      <c r="V19" s="127">
        <f t="shared" si="1"/>
        <v>-4.109999999999999</v>
      </c>
      <c r="W19" s="127">
        <f t="shared" si="1"/>
        <v>-3.6299999999999955</v>
      </c>
    </row>
    <row r="20" spans="1:23" ht="12.75">
      <c r="A20" s="130" t="s">
        <v>11</v>
      </c>
      <c r="B20" s="157">
        <v>4.63</v>
      </c>
      <c r="C20" s="157">
        <v>4.93</v>
      </c>
      <c r="D20" s="157">
        <v>4.05</v>
      </c>
      <c r="E20" s="157">
        <v>5.28</v>
      </c>
      <c r="F20" s="157">
        <v>4.44</v>
      </c>
      <c r="G20" s="157">
        <v>5.37</v>
      </c>
      <c r="H20" s="125"/>
      <c r="I20" s="130" t="s">
        <v>11</v>
      </c>
      <c r="J20" s="157">
        <v>5.59</v>
      </c>
      <c r="K20" s="157">
        <v>5.87</v>
      </c>
      <c r="L20" s="157">
        <v>4.95</v>
      </c>
      <c r="M20" s="157">
        <v>6.15</v>
      </c>
      <c r="N20" s="157">
        <v>5.36</v>
      </c>
      <c r="O20" s="157">
        <v>6.28</v>
      </c>
      <c r="P20" s="158"/>
      <c r="Q20" s="128" t="str">
        <f t="shared" si="0"/>
        <v>C/dB</v>
      </c>
      <c r="R20" s="127">
        <f t="shared" si="1"/>
        <v>-0.96</v>
      </c>
      <c r="S20" s="127">
        <f t="shared" si="1"/>
        <v>-0.9400000000000004</v>
      </c>
      <c r="T20" s="127">
        <f t="shared" si="1"/>
        <v>-0.9000000000000004</v>
      </c>
      <c r="U20" s="127">
        <f t="shared" si="1"/>
        <v>-0.8700000000000001</v>
      </c>
      <c r="V20" s="127">
        <f t="shared" si="1"/>
        <v>-0.9199999999999999</v>
      </c>
      <c r="W20" s="127">
        <f t="shared" si="1"/>
        <v>-0.9100000000000001</v>
      </c>
    </row>
    <row r="21" spans="1:23" ht="12.75">
      <c r="A21" s="130" t="s">
        <v>12</v>
      </c>
      <c r="B21" s="157">
        <v>58.19</v>
      </c>
      <c r="C21" s="157">
        <v>54.56</v>
      </c>
      <c r="D21" s="157">
        <v>63.41</v>
      </c>
      <c r="E21" s="157">
        <v>52.22</v>
      </c>
      <c r="F21" s="157">
        <v>59.74</v>
      </c>
      <c r="G21" s="157">
        <v>51.27</v>
      </c>
      <c r="H21" s="125"/>
      <c r="I21" s="130" t="s">
        <v>12</v>
      </c>
      <c r="J21" s="157">
        <v>51.46</v>
      </c>
      <c r="K21" s="157">
        <v>48.01</v>
      </c>
      <c r="L21" s="157">
        <v>56.2</v>
      </c>
      <c r="M21" s="157">
        <v>45.99</v>
      </c>
      <c r="N21" s="157">
        <v>52.97</v>
      </c>
      <c r="O21" s="157">
        <v>45.6</v>
      </c>
      <c r="P21" s="158"/>
      <c r="Q21" s="128" t="str">
        <f t="shared" si="0"/>
        <v>TS/ms</v>
      </c>
      <c r="R21" s="127">
        <f t="shared" si="1"/>
        <v>6.729999999999997</v>
      </c>
      <c r="S21" s="127">
        <f t="shared" si="1"/>
        <v>6.550000000000004</v>
      </c>
      <c r="T21" s="127">
        <f t="shared" si="1"/>
        <v>7.209999999999994</v>
      </c>
      <c r="U21" s="127">
        <f t="shared" si="1"/>
        <v>6.229999999999997</v>
      </c>
      <c r="V21" s="127">
        <f t="shared" si="1"/>
        <v>6.770000000000003</v>
      </c>
      <c r="W21" s="127">
        <f t="shared" si="1"/>
        <v>5.670000000000002</v>
      </c>
    </row>
    <row r="22" spans="1:23" ht="12.75">
      <c r="A22" s="130" t="s">
        <v>13</v>
      </c>
      <c r="B22" s="157">
        <v>18.61</v>
      </c>
      <c r="C22" s="157">
        <v>19.4</v>
      </c>
      <c r="D22" s="157">
        <v>18.24</v>
      </c>
      <c r="E22" s="157">
        <v>19.45</v>
      </c>
      <c r="F22" s="157">
        <v>18.61</v>
      </c>
      <c r="G22" s="157">
        <v>19.57</v>
      </c>
      <c r="H22" s="125"/>
      <c r="I22" s="130" t="s">
        <v>13</v>
      </c>
      <c r="J22" s="157">
        <v>18.17</v>
      </c>
      <c r="K22" s="157">
        <v>19.09</v>
      </c>
      <c r="L22" s="157">
        <v>17.88</v>
      </c>
      <c r="M22" s="157">
        <v>19.12</v>
      </c>
      <c r="N22" s="157">
        <v>18.14</v>
      </c>
      <c r="O22" s="157">
        <v>19.32</v>
      </c>
      <c r="P22" s="158"/>
      <c r="Q22" s="128" t="str">
        <f t="shared" si="0"/>
        <v>G/dB</v>
      </c>
      <c r="R22" s="127">
        <f t="shared" si="1"/>
        <v>0.4399999999999977</v>
      </c>
      <c r="S22" s="127">
        <f t="shared" si="1"/>
        <v>0.3099999999999987</v>
      </c>
      <c r="T22" s="127">
        <f t="shared" si="1"/>
        <v>0.35999999999999943</v>
      </c>
      <c r="U22" s="127">
        <f t="shared" si="1"/>
        <v>0.3299999999999983</v>
      </c>
      <c r="V22" s="127">
        <f t="shared" si="1"/>
        <v>0.46999999999999886</v>
      </c>
      <c r="W22" s="127">
        <f t="shared" si="1"/>
        <v>0.25</v>
      </c>
    </row>
    <row r="23" spans="1:23" ht="12.75">
      <c r="A23" s="130" t="s">
        <v>14</v>
      </c>
      <c r="B23" s="157">
        <v>28.66</v>
      </c>
      <c r="C23" s="157">
        <v>21.04</v>
      </c>
      <c r="D23" s="157">
        <v>25.73</v>
      </c>
      <c r="E23" s="157">
        <v>27.25</v>
      </c>
      <c r="F23" s="157">
        <v>29.96</v>
      </c>
      <c r="G23" s="157">
        <v>22.14</v>
      </c>
      <c r="H23" s="125"/>
      <c r="I23" s="130" t="s">
        <v>14</v>
      </c>
      <c r="J23" s="157">
        <v>27.9</v>
      </c>
      <c r="K23" s="157">
        <v>19.95</v>
      </c>
      <c r="L23" s="157">
        <v>25.9</v>
      </c>
      <c r="M23" s="157">
        <v>27.58</v>
      </c>
      <c r="N23" s="157">
        <v>28.39</v>
      </c>
      <c r="O23" s="157">
        <v>21.92</v>
      </c>
      <c r="Q23" s="128" t="str">
        <f t="shared" si="0"/>
        <v>LF/%</v>
      </c>
      <c r="R23" s="127">
        <f t="shared" si="1"/>
        <v>0.7600000000000016</v>
      </c>
      <c r="S23" s="127">
        <f t="shared" si="1"/>
        <v>1.0899999999999999</v>
      </c>
      <c r="T23" s="127">
        <f t="shared" si="1"/>
        <v>-0.16999999999999815</v>
      </c>
      <c r="U23" s="127">
        <f t="shared" si="1"/>
        <v>-0.3299999999999983</v>
      </c>
      <c r="V23" s="127">
        <f t="shared" si="1"/>
        <v>1.5700000000000003</v>
      </c>
      <c r="W23" s="127">
        <f t="shared" si="1"/>
        <v>0.21999999999999886</v>
      </c>
    </row>
    <row r="24" spans="1:23" ht="12.75">
      <c r="A24" s="130" t="s">
        <v>15</v>
      </c>
      <c r="B24" s="157">
        <v>40.32</v>
      </c>
      <c r="C24" s="157">
        <v>31.38</v>
      </c>
      <c r="D24" s="157">
        <v>39.25</v>
      </c>
      <c r="E24" s="157">
        <v>38.08</v>
      </c>
      <c r="F24" s="157">
        <v>41.86</v>
      </c>
      <c r="G24" s="157">
        <v>32.48</v>
      </c>
      <c r="H24" s="125"/>
      <c r="I24" s="130" t="s">
        <v>15</v>
      </c>
      <c r="J24" s="157">
        <v>39.39</v>
      </c>
      <c r="K24" s="157">
        <v>30.28</v>
      </c>
      <c r="L24" s="157">
        <v>39.1</v>
      </c>
      <c r="M24" s="157">
        <v>37.93</v>
      </c>
      <c r="N24" s="157">
        <v>40.67</v>
      </c>
      <c r="O24" s="157">
        <v>32.16</v>
      </c>
      <c r="Q24" s="128" t="str">
        <f t="shared" si="0"/>
        <v>LFC/%</v>
      </c>
      <c r="R24" s="127">
        <f t="shared" si="1"/>
        <v>0.9299999999999997</v>
      </c>
      <c r="S24" s="127">
        <f t="shared" si="1"/>
        <v>1.0999999999999979</v>
      </c>
      <c r="T24" s="127">
        <f t="shared" si="1"/>
        <v>0.14999999999999858</v>
      </c>
      <c r="U24" s="127">
        <f t="shared" si="1"/>
        <v>0.14999999999999858</v>
      </c>
      <c r="V24" s="127">
        <f t="shared" si="1"/>
        <v>1.1899999999999977</v>
      </c>
      <c r="W24" s="127">
        <f t="shared" si="1"/>
        <v>0.3200000000000003</v>
      </c>
    </row>
    <row r="25" spans="1:23" ht="12.75">
      <c r="A25" s="134" t="s">
        <v>16</v>
      </c>
      <c r="B25" s="135"/>
      <c r="C25" s="132"/>
      <c r="D25" s="132"/>
      <c r="E25" s="132"/>
      <c r="F25" s="132"/>
      <c r="G25" s="133"/>
      <c r="H25" s="125"/>
      <c r="I25" s="134" t="s">
        <v>16</v>
      </c>
      <c r="J25" s="135"/>
      <c r="K25" s="132"/>
      <c r="L25" s="132"/>
      <c r="M25" s="132"/>
      <c r="N25" s="132"/>
      <c r="O25" s="133"/>
      <c r="Q25" s="128" t="str">
        <f t="shared" si="0"/>
        <v>IACC</v>
      </c>
      <c r="R25" s="127">
        <f t="shared" si="1"/>
        <v>0</v>
      </c>
      <c r="S25" s="127">
        <f t="shared" si="1"/>
        <v>0</v>
      </c>
      <c r="T25" s="127">
        <f t="shared" si="1"/>
        <v>0</v>
      </c>
      <c r="U25" s="127">
        <f t="shared" si="1"/>
        <v>0</v>
      </c>
      <c r="V25" s="127">
        <f t="shared" si="1"/>
        <v>0</v>
      </c>
      <c r="W25" s="127">
        <f t="shared" si="1"/>
        <v>0</v>
      </c>
    </row>
    <row r="26" spans="5:15" ht="12.75">
      <c r="E26" s="136"/>
      <c r="F26" s="136"/>
      <c r="G26" s="136"/>
      <c r="H26" s="136"/>
      <c r="M26" s="136"/>
      <c r="N26" s="136"/>
      <c r="O26" s="136"/>
    </row>
    <row r="27" spans="1:18" ht="12.75">
      <c r="A27" s="155" t="s">
        <v>17</v>
      </c>
      <c r="B27" s="156" t="s">
        <v>1</v>
      </c>
      <c r="E27" s="136"/>
      <c r="F27" s="136"/>
      <c r="G27" s="136"/>
      <c r="H27" s="136"/>
      <c r="I27" s="155" t="s">
        <v>17</v>
      </c>
      <c r="J27" s="156" t="s">
        <v>1</v>
      </c>
      <c r="M27" s="136"/>
      <c r="N27" s="136"/>
      <c r="O27" s="136"/>
      <c r="Q27" s="128" t="str">
        <f>+A27</f>
        <v>250 Hz</v>
      </c>
      <c r="R27" s="128" t="str">
        <f>+B27</f>
        <v>octave</v>
      </c>
    </row>
    <row r="28" spans="1:23" ht="12.75">
      <c r="A28" s="142"/>
      <c r="B28" s="140" t="s">
        <v>2</v>
      </c>
      <c r="C28" s="140" t="s">
        <v>3</v>
      </c>
      <c r="D28" s="139" t="s">
        <v>4</v>
      </c>
      <c r="E28" s="139" t="s">
        <v>5</v>
      </c>
      <c r="F28" s="140" t="s">
        <v>6</v>
      </c>
      <c r="G28" s="139" t="s">
        <v>7</v>
      </c>
      <c r="H28" s="141"/>
      <c r="I28" s="142"/>
      <c r="J28" s="140" t="s">
        <v>2</v>
      </c>
      <c r="K28" s="140" t="s">
        <v>3</v>
      </c>
      <c r="L28" s="139" t="s">
        <v>4</v>
      </c>
      <c r="M28" s="139" t="s">
        <v>5</v>
      </c>
      <c r="N28" s="140" t="s">
        <v>6</v>
      </c>
      <c r="O28" s="139" t="s">
        <v>7</v>
      </c>
      <c r="Q28" s="128">
        <f>+A28</f>
        <v>0</v>
      </c>
      <c r="R28" s="128" t="str">
        <f>+B28</f>
        <v>S1R1</v>
      </c>
      <c r="S28" s="128" t="str">
        <f>+C28</f>
        <v>S1R2</v>
      </c>
      <c r="T28" s="128" t="str">
        <f>+D28</f>
        <v>S1R3</v>
      </c>
      <c r="U28" s="128" t="str">
        <f>+E28</f>
        <v>S2R1</v>
      </c>
      <c r="V28" s="128" t="str">
        <f>+F28</f>
        <v>S2R2</v>
      </c>
      <c r="W28" s="128" t="str">
        <f>+G28</f>
        <v>S2R3</v>
      </c>
    </row>
    <row r="29" spans="1:23" ht="12.75">
      <c r="A29" s="130" t="s">
        <v>8</v>
      </c>
      <c r="B29" s="157">
        <v>1.11</v>
      </c>
      <c r="C29" s="157">
        <v>1.11</v>
      </c>
      <c r="D29" s="157">
        <v>1.11</v>
      </c>
      <c r="E29" s="157">
        <v>1.13</v>
      </c>
      <c r="F29" s="157">
        <v>1.11</v>
      </c>
      <c r="G29" s="157">
        <v>1.13</v>
      </c>
      <c r="H29" s="125"/>
      <c r="I29" s="130" t="s">
        <v>8</v>
      </c>
      <c r="J29" s="157">
        <v>0.86</v>
      </c>
      <c r="K29" s="157">
        <v>0.85</v>
      </c>
      <c r="L29" s="157">
        <v>0.85</v>
      </c>
      <c r="M29" s="157">
        <v>0.85</v>
      </c>
      <c r="N29" s="157">
        <v>0.85</v>
      </c>
      <c r="O29" s="157">
        <v>0.85</v>
      </c>
      <c r="Q29" s="128" t="str">
        <f aca="true" t="shared" si="2" ref="Q29:Q37">+A29</f>
        <v>T30/s</v>
      </c>
      <c r="R29" s="127">
        <f aca="true" t="shared" si="3" ref="R29:W37">+B29-J29</f>
        <v>0.2500000000000001</v>
      </c>
      <c r="S29" s="127">
        <f t="shared" si="3"/>
        <v>0.2600000000000001</v>
      </c>
      <c r="T29" s="127">
        <f t="shared" si="3"/>
        <v>0.2600000000000001</v>
      </c>
      <c r="U29" s="127">
        <f t="shared" si="3"/>
        <v>0.2799999999999999</v>
      </c>
      <c r="V29" s="127">
        <f t="shared" si="3"/>
        <v>0.2600000000000001</v>
      </c>
      <c r="W29" s="127">
        <f t="shared" si="3"/>
        <v>0.2799999999999999</v>
      </c>
    </row>
    <row r="30" spans="1:23" ht="12.75">
      <c r="A30" s="130" t="s">
        <v>9</v>
      </c>
      <c r="B30" s="157">
        <v>1.08</v>
      </c>
      <c r="C30" s="157">
        <v>1.09</v>
      </c>
      <c r="D30" s="157">
        <v>1.12</v>
      </c>
      <c r="E30" s="157">
        <v>1.07</v>
      </c>
      <c r="F30" s="157">
        <v>1.11</v>
      </c>
      <c r="G30" s="157">
        <v>1.07</v>
      </c>
      <c r="H30" s="125"/>
      <c r="I30" s="130" t="s">
        <v>9</v>
      </c>
      <c r="J30" s="157">
        <v>0.86</v>
      </c>
      <c r="K30" s="157">
        <v>0.81</v>
      </c>
      <c r="L30" s="157">
        <v>0.85</v>
      </c>
      <c r="M30" s="157">
        <v>0.83</v>
      </c>
      <c r="N30" s="157">
        <v>0.85</v>
      </c>
      <c r="O30" s="157">
        <v>0.82</v>
      </c>
      <c r="Q30" s="128" t="str">
        <f t="shared" si="2"/>
        <v>EDT/s</v>
      </c>
      <c r="R30" s="127">
        <f t="shared" si="3"/>
        <v>0.22000000000000008</v>
      </c>
      <c r="S30" s="127">
        <f t="shared" si="3"/>
        <v>0.28</v>
      </c>
      <c r="T30" s="127">
        <f t="shared" si="3"/>
        <v>0.27000000000000013</v>
      </c>
      <c r="U30" s="127">
        <f t="shared" si="3"/>
        <v>0.2400000000000001</v>
      </c>
      <c r="V30" s="127">
        <f t="shared" si="3"/>
        <v>0.2600000000000001</v>
      </c>
      <c r="W30" s="127">
        <f t="shared" si="3"/>
        <v>0.2500000000000001</v>
      </c>
    </row>
    <row r="31" spans="1:23" ht="12.75">
      <c r="A31" s="130" t="s">
        <v>10</v>
      </c>
      <c r="B31" s="157">
        <v>50.77</v>
      </c>
      <c r="C31" s="157">
        <v>54.35</v>
      </c>
      <c r="D31" s="157">
        <v>46.51</v>
      </c>
      <c r="E31" s="157">
        <v>55.57</v>
      </c>
      <c r="F31" s="157">
        <v>49.76</v>
      </c>
      <c r="G31" s="157">
        <v>55.35</v>
      </c>
      <c r="H31" s="125"/>
      <c r="I31" s="130" t="s">
        <v>10</v>
      </c>
      <c r="J31" s="157">
        <v>61.4</v>
      </c>
      <c r="K31" s="157">
        <v>63.12</v>
      </c>
      <c r="L31" s="157">
        <v>56.27</v>
      </c>
      <c r="M31" s="157">
        <v>65.15</v>
      </c>
      <c r="N31" s="157">
        <v>59</v>
      </c>
      <c r="O31" s="157">
        <v>63.98</v>
      </c>
      <c r="Q31" s="128" t="str">
        <f t="shared" si="2"/>
        <v>D/%</v>
      </c>
      <c r="R31" s="127">
        <f t="shared" si="3"/>
        <v>-10.629999999999995</v>
      </c>
      <c r="S31" s="127">
        <f t="shared" si="3"/>
        <v>-8.769999999999996</v>
      </c>
      <c r="T31" s="127">
        <f t="shared" si="3"/>
        <v>-9.760000000000005</v>
      </c>
      <c r="U31" s="127">
        <f t="shared" si="3"/>
        <v>-9.580000000000005</v>
      </c>
      <c r="V31" s="127">
        <f t="shared" si="3"/>
        <v>-9.240000000000002</v>
      </c>
      <c r="W31" s="127">
        <f t="shared" si="3"/>
        <v>-8.629999999999995</v>
      </c>
    </row>
    <row r="32" spans="1:23" ht="12.75">
      <c r="A32" s="130" t="s">
        <v>11</v>
      </c>
      <c r="B32" s="157">
        <v>3.04</v>
      </c>
      <c r="C32" s="157">
        <v>3.45</v>
      </c>
      <c r="D32" s="157">
        <v>2.17</v>
      </c>
      <c r="E32" s="157">
        <v>3.59</v>
      </c>
      <c r="F32" s="157">
        <v>2.78</v>
      </c>
      <c r="G32" s="157">
        <v>3.57</v>
      </c>
      <c r="H32" s="125"/>
      <c r="I32" s="130" t="s">
        <v>11</v>
      </c>
      <c r="J32" s="157">
        <v>4.9</v>
      </c>
      <c r="K32" s="157">
        <v>5.58</v>
      </c>
      <c r="L32" s="157">
        <v>4.36</v>
      </c>
      <c r="M32" s="157">
        <v>5.56</v>
      </c>
      <c r="N32" s="157">
        <v>4.54</v>
      </c>
      <c r="O32" s="157">
        <v>5.54</v>
      </c>
      <c r="Q32" s="128" t="str">
        <f t="shared" si="2"/>
        <v>C/dB</v>
      </c>
      <c r="R32" s="127">
        <f t="shared" si="3"/>
        <v>-1.8600000000000003</v>
      </c>
      <c r="S32" s="127">
        <f t="shared" si="3"/>
        <v>-2.13</v>
      </c>
      <c r="T32" s="127">
        <f t="shared" si="3"/>
        <v>-2.1900000000000004</v>
      </c>
      <c r="U32" s="127">
        <f t="shared" si="3"/>
        <v>-1.9699999999999998</v>
      </c>
      <c r="V32" s="127">
        <f t="shared" si="3"/>
        <v>-1.7600000000000002</v>
      </c>
      <c r="W32" s="127">
        <f t="shared" si="3"/>
        <v>-1.9700000000000002</v>
      </c>
    </row>
    <row r="33" spans="1:23" ht="12.75">
      <c r="A33" s="130" t="s">
        <v>12</v>
      </c>
      <c r="B33" s="157">
        <v>73.74</v>
      </c>
      <c r="C33" s="157">
        <v>68.72</v>
      </c>
      <c r="D33" s="157">
        <v>80.58</v>
      </c>
      <c r="E33" s="157">
        <v>67.45</v>
      </c>
      <c r="F33" s="157">
        <v>76.27</v>
      </c>
      <c r="G33" s="157">
        <v>67.56</v>
      </c>
      <c r="H33" s="125"/>
      <c r="I33" s="130" t="s">
        <v>12</v>
      </c>
      <c r="J33" s="157">
        <v>55.92</v>
      </c>
      <c r="K33" s="157">
        <v>50.58</v>
      </c>
      <c r="L33" s="157">
        <v>60.56</v>
      </c>
      <c r="M33" s="157">
        <v>49.38</v>
      </c>
      <c r="N33" s="157">
        <v>57.68</v>
      </c>
      <c r="O33" s="157">
        <v>50.46</v>
      </c>
      <c r="Q33" s="128" t="str">
        <f t="shared" si="2"/>
        <v>TS/ms</v>
      </c>
      <c r="R33" s="127">
        <f t="shared" si="3"/>
        <v>17.819999999999993</v>
      </c>
      <c r="S33" s="127">
        <f t="shared" si="3"/>
        <v>18.14</v>
      </c>
      <c r="T33" s="127">
        <f t="shared" si="3"/>
        <v>20.019999999999996</v>
      </c>
      <c r="U33" s="127">
        <f t="shared" si="3"/>
        <v>18.07</v>
      </c>
      <c r="V33" s="127">
        <f t="shared" si="3"/>
        <v>18.589999999999996</v>
      </c>
      <c r="W33" s="127">
        <f t="shared" si="3"/>
        <v>17.1</v>
      </c>
    </row>
    <row r="34" spans="1:23" ht="12.75">
      <c r="A34" s="130" t="s">
        <v>13</v>
      </c>
      <c r="B34" s="157">
        <v>19.53</v>
      </c>
      <c r="C34" s="157">
        <v>20.29</v>
      </c>
      <c r="D34" s="157">
        <v>19.25</v>
      </c>
      <c r="E34" s="157">
        <v>20.27</v>
      </c>
      <c r="F34" s="157">
        <v>19.68</v>
      </c>
      <c r="G34" s="157">
        <v>20.47</v>
      </c>
      <c r="H34" s="125"/>
      <c r="I34" s="130" t="s">
        <v>13</v>
      </c>
      <c r="J34" s="157">
        <v>18.17</v>
      </c>
      <c r="K34" s="157">
        <v>19.48</v>
      </c>
      <c r="L34" s="157">
        <v>18.32</v>
      </c>
      <c r="M34" s="157">
        <v>19.22</v>
      </c>
      <c r="N34" s="157">
        <v>18.47</v>
      </c>
      <c r="O34" s="157">
        <v>19.61</v>
      </c>
      <c r="Q34" s="128" t="str">
        <f t="shared" si="2"/>
        <v>G/dB</v>
      </c>
      <c r="R34" s="127">
        <f t="shared" si="3"/>
        <v>1.3599999999999994</v>
      </c>
      <c r="S34" s="127">
        <f t="shared" si="3"/>
        <v>0.8099999999999987</v>
      </c>
      <c r="T34" s="127">
        <f t="shared" si="3"/>
        <v>0.9299999999999997</v>
      </c>
      <c r="U34" s="127">
        <f t="shared" si="3"/>
        <v>1.0500000000000007</v>
      </c>
      <c r="V34" s="127">
        <f t="shared" si="3"/>
        <v>1.2100000000000009</v>
      </c>
      <c r="W34" s="127">
        <f t="shared" si="3"/>
        <v>0.8599999999999994</v>
      </c>
    </row>
    <row r="35" spans="1:23" ht="12.75">
      <c r="A35" s="130" t="s">
        <v>14</v>
      </c>
      <c r="B35" s="157">
        <v>29.02</v>
      </c>
      <c r="C35" s="157">
        <v>20.91</v>
      </c>
      <c r="D35" s="157">
        <v>25.7</v>
      </c>
      <c r="E35" s="157">
        <v>26.59</v>
      </c>
      <c r="F35" s="157">
        <v>29.26</v>
      </c>
      <c r="G35" s="157">
        <v>22.75</v>
      </c>
      <c r="H35" s="125"/>
      <c r="I35" s="130" t="s">
        <v>14</v>
      </c>
      <c r="J35" s="157">
        <v>27.03</v>
      </c>
      <c r="K35" s="157">
        <v>20.96</v>
      </c>
      <c r="L35" s="157">
        <v>25.22</v>
      </c>
      <c r="M35" s="157">
        <v>24.87</v>
      </c>
      <c r="N35" s="157">
        <v>29.2</v>
      </c>
      <c r="O35" s="157">
        <v>21.4</v>
      </c>
      <c r="Q35" s="128" t="str">
        <f t="shared" si="2"/>
        <v>LF/%</v>
      </c>
      <c r="R35" s="127">
        <f t="shared" si="3"/>
        <v>1.9899999999999984</v>
      </c>
      <c r="S35" s="127">
        <f t="shared" si="3"/>
        <v>-0.05000000000000071</v>
      </c>
      <c r="T35" s="127">
        <f t="shared" si="3"/>
        <v>0.4800000000000004</v>
      </c>
      <c r="U35" s="127">
        <f t="shared" si="3"/>
        <v>1.7199999999999989</v>
      </c>
      <c r="V35" s="127">
        <f t="shared" si="3"/>
        <v>0.060000000000002274</v>
      </c>
      <c r="W35" s="127">
        <f t="shared" si="3"/>
        <v>1.3500000000000014</v>
      </c>
    </row>
    <row r="36" spans="1:23" ht="12.75">
      <c r="A36" s="130" t="s">
        <v>15</v>
      </c>
      <c r="B36" s="157">
        <v>41.13</v>
      </c>
      <c r="C36" s="157">
        <v>32</v>
      </c>
      <c r="D36" s="157">
        <v>39.26</v>
      </c>
      <c r="E36" s="157">
        <v>37.92</v>
      </c>
      <c r="F36" s="157">
        <v>42.12</v>
      </c>
      <c r="G36" s="157">
        <v>33.69</v>
      </c>
      <c r="H36" s="125"/>
      <c r="I36" s="130" t="s">
        <v>15</v>
      </c>
      <c r="J36" s="157">
        <v>38.4</v>
      </c>
      <c r="K36" s="157">
        <v>31.63</v>
      </c>
      <c r="L36" s="157">
        <v>39.01</v>
      </c>
      <c r="M36" s="157">
        <v>35.59</v>
      </c>
      <c r="N36" s="157">
        <v>41.74</v>
      </c>
      <c r="O36" s="157">
        <v>31.91</v>
      </c>
      <c r="Q36" s="128" t="str">
        <f t="shared" si="2"/>
        <v>LFC/%</v>
      </c>
      <c r="R36" s="127">
        <f t="shared" si="3"/>
        <v>2.730000000000004</v>
      </c>
      <c r="S36" s="127">
        <f t="shared" si="3"/>
        <v>0.370000000000001</v>
      </c>
      <c r="T36" s="127">
        <f t="shared" si="3"/>
        <v>0.25</v>
      </c>
      <c r="U36" s="127">
        <f t="shared" si="3"/>
        <v>2.3299999999999983</v>
      </c>
      <c r="V36" s="127">
        <f t="shared" si="3"/>
        <v>0.37999999999999545</v>
      </c>
      <c r="W36" s="127">
        <f t="shared" si="3"/>
        <v>1.7799999999999976</v>
      </c>
    </row>
    <row r="37" spans="1:23" ht="12.75">
      <c r="A37" s="134" t="s">
        <v>16</v>
      </c>
      <c r="B37" s="135"/>
      <c r="C37" s="132"/>
      <c r="D37" s="132"/>
      <c r="E37" s="132"/>
      <c r="F37" s="132"/>
      <c r="G37" s="133"/>
      <c r="H37" s="125"/>
      <c r="I37" s="134" t="s">
        <v>16</v>
      </c>
      <c r="J37" s="135"/>
      <c r="K37" s="132"/>
      <c r="L37" s="132"/>
      <c r="M37" s="132"/>
      <c r="N37" s="132"/>
      <c r="O37" s="133"/>
      <c r="Q37" s="128" t="str">
        <f t="shared" si="2"/>
        <v>IACC</v>
      </c>
      <c r="R37" s="127">
        <f t="shared" si="3"/>
        <v>0</v>
      </c>
      <c r="S37" s="127">
        <f t="shared" si="3"/>
        <v>0</v>
      </c>
      <c r="T37" s="127">
        <f t="shared" si="3"/>
        <v>0</v>
      </c>
      <c r="U37" s="127">
        <f t="shared" si="3"/>
        <v>0</v>
      </c>
      <c r="V37" s="127">
        <f t="shared" si="3"/>
        <v>0</v>
      </c>
      <c r="W37" s="127">
        <f t="shared" si="3"/>
        <v>0</v>
      </c>
    </row>
    <row r="38" spans="5:15" ht="12.75">
      <c r="E38" s="136"/>
      <c r="F38" s="136"/>
      <c r="G38" s="136"/>
      <c r="H38" s="136"/>
      <c r="M38" s="136"/>
      <c r="N38" s="136"/>
      <c r="O38" s="136"/>
    </row>
    <row r="39" spans="1:18" ht="12.75">
      <c r="A39" s="155" t="s">
        <v>18</v>
      </c>
      <c r="B39" s="156" t="s">
        <v>1</v>
      </c>
      <c r="E39" s="136"/>
      <c r="F39" s="136"/>
      <c r="G39" s="136"/>
      <c r="H39" s="136"/>
      <c r="I39" s="155" t="s">
        <v>18</v>
      </c>
      <c r="J39" s="156" t="s">
        <v>1</v>
      </c>
      <c r="M39" s="136"/>
      <c r="N39" s="136"/>
      <c r="O39" s="136"/>
      <c r="Q39" s="128" t="str">
        <f>+A39</f>
        <v>500 Hz</v>
      </c>
      <c r="R39" s="128" t="str">
        <f>+B39</f>
        <v>octave</v>
      </c>
    </row>
    <row r="40" spans="1:23" ht="12.75">
      <c r="A40" s="142"/>
      <c r="B40" s="140" t="s">
        <v>2</v>
      </c>
      <c r="C40" s="140" t="s">
        <v>3</v>
      </c>
      <c r="D40" s="139" t="s">
        <v>4</v>
      </c>
      <c r="E40" s="139" t="s">
        <v>5</v>
      </c>
      <c r="F40" s="140" t="s">
        <v>6</v>
      </c>
      <c r="G40" s="139" t="s">
        <v>7</v>
      </c>
      <c r="H40" s="141"/>
      <c r="I40" s="142"/>
      <c r="J40" s="140" t="s">
        <v>2</v>
      </c>
      <c r="K40" s="140" t="s">
        <v>3</v>
      </c>
      <c r="L40" s="139" t="s">
        <v>4</v>
      </c>
      <c r="M40" s="139" t="s">
        <v>5</v>
      </c>
      <c r="N40" s="140" t="s">
        <v>6</v>
      </c>
      <c r="O40" s="139" t="s">
        <v>7</v>
      </c>
      <c r="Q40" s="128">
        <f>+A40</f>
        <v>0</v>
      </c>
      <c r="R40" s="128" t="str">
        <f>+B40</f>
        <v>S1R1</v>
      </c>
      <c r="S40" s="128" t="str">
        <f>+C40</f>
        <v>S1R2</v>
      </c>
      <c r="T40" s="128" t="str">
        <f>+D40</f>
        <v>S1R3</v>
      </c>
      <c r="U40" s="128" t="str">
        <f>+E40</f>
        <v>S2R1</v>
      </c>
      <c r="V40" s="128" t="str">
        <f>+F40</f>
        <v>S2R2</v>
      </c>
      <c r="W40" s="128" t="str">
        <f>+G40</f>
        <v>S2R3</v>
      </c>
    </row>
    <row r="41" spans="1:23" ht="12.75">
      <c r="A41" s="130" t="s">
        <v>8</v>
      </c>
      <c r="B41" s="157">
        <v>1.13</v>
      </c>
      <c r="C41" s="157">
        <v>1.13</v>
      </c>
      <c r="D41" s="157">
        <v>1.12</v>
      </c>
      <c r="E41" s="157">
        <v>1.19</v>
      </c>
      <c r="F41" s="157">
        <v>1.16</v>
      </c>
      <c r="G41" s="157">
        <v>1.15</v>
      </c>
      <c r="H41" s="125"/>
      <c r="I41" s="130" t="s">
        <v>8</v>
      </c>
      <c r="J41" s="157">
        <v>0.83</v>
      </c>
      <c r="K41" s="157">
        <v>0.81</v>
      </c>
      <c r="L41" s="157">
        <v>0.83</v>
      </c>
      <c r="M41" s="157">
        <v>0.82</v>
      </c>
      <c r="N41" s="157">
        <v>0.81</v>
      </c>
      <c r="O41" s="157">
        <v>0.84</v>
      </c>
      <c r="Q41" s="128" t="str">
        <f aca="true" t="shared" si="4" ref="Q41:Q49">+A41</f>
        <v>T30/s</v>
      </c>
      <c r="R41" s="127">
        <f aca="true" t="shared" si="5" ref="R41:W49">+B41-J41</f>
        <v>0.29999999999999993</v>
      </c>
      <c r="S41" s="127">
        <f t="shared" si="5"/>
        <v>0.31999999999999984</v>
      </c>
      <c r="T41" s="127">
        <f t="shared" si="5"/>
        <v>0.29000000000000015</v>
      </c>
      <c r="U41" s="127">
        <f t="shared" si="5"/>
        <v>0.37</v>
      </c>
      <c r="V41" s="127">
        <f t="shared" si="5"/>
        <v>0.34999999999999987</v>
      </c>
      <c r="W41" s="127">
        <f t="shared" si="5"/>
        <v>0.30999999999999994</v>
      </c>
    </row>
    <row r="42" spans="1:23" ht="12.75">
      <c r="A42" s="130" t="s">
        <v>9</v>
      </c>
      <c r="B42" s="157">
        <v>1.12</v>
      </c>
      <c r="C42" s="157">
        <v>1.13</v>
      </c>
      <c r="D42" s="157">
        <v>1.15</v>
      </c>
      <c r="E42" s="157">
        <v>1.1</v>
      </c>
      <c r="F42" s="157">
        <v>1.14</v>
      </c>
      <c r="G42" s="157">
        <v>1.09</v>
      </c>
      <c r="H42" s="125"/>
      <c r="I42" s="130" t="s">
        <v>9</v>
      </c>
      <c r="J42" s="157">
        <v>0.82</v>
      </c>
      <c r="K42" s="157">
        <v>0.8</v>
      </c>
      <c r="L42" s="157">
        <v>0.82</v>
      </c>
      <c r="M42" s="157">
        <v>0.78</v>
      </c>
      <c r="N42" s="157">
        <v>0.83</v>
      </c>
      <c r="O42" s="157">
        <v>0.79</v>
      </c>
      <c r="Q42" s="128" t="str">
        <f t="shared" si="4"/>
        <v>EDT/s</v>
      </c>
      <c r="R42" s="127">
        <f t="shared" si="5"/>
        <v>0.30000000000000016</v>
      </c>
      <c r="S42" s="127">
        <f t="shared" si="5"/>
        <v>0.32999999999999985</v>
      </c>
      <c r="T42" s="127">
        <f t="shared" si="5"/>
        <v>0.32999999999999996</v>
      </c>
      <c r="U42" s="127">
        <f t="shared" si="5"/>
        <v>0.32000000000000006</v>
      </c>
      <c r="V42" s="127">
        <f t="shared" si="5"/>
        <v>0.30999999999999994</v>
      </c>
      <c r="W42" s="127">
        <f t="shared" si="5"/>
        <v>0.30000000000000004</v>
      </c>
    </row>
    <row r="43" spans="1:23" ht="12.75">
      <c r="A43" s="130" t="s">
        <v>10</v>
      </c>
      <c r="B43" s="157">
        <v>49.44</v>
      </c>
      <c r="C43" s="157">
        <v>53.92</v>
      </c>
      <c r="D43" s="157">
        <v>45.94</v>
      </c>
      <c r="E43" s="157">
        <v>54.88</v>
      </c>
      <c r="F43" s="157">
        <v>49.02</v>
      </c>
      <c r="G43" s="157">
        <v>54.5</v>
      </c>
      <c r="H43" s="125"/>
      <c r="I43" s="130" t="s">
        <v>10</v>
      </c>
      <c r="J43" s="157">
        <v>61.26</v>
      </c>
      <c r="K43" s="157">
        <v>65.07</v>
      </c>
      <c r="L43" s="157">
        <v>57.95</v>
      </c>
      <c r="M43" s="157">
        <v>66.25</v>
      </c>
      <c r="N43" s="157">
        <v>59.84</v>
      </c>
      <c r="O43" s="157">
        <v>65.87</v>
      </c>
      <c r="Q43" s="128" t="str">
        <f t="shared" si="4"/>
        <v>D/%</v>
      </c>
      <c r="R43" s="127">
        <f t="shared" si="5"/>
        <v>-11.82</v>
      </c>
      <c r="S43" s="127">
        <f t="shared" si="5"/>
        <v>-11.149999999999991</v>
      </c>
      <c r="T43" s="127">
        <f t="shared" si="5"/>
        <v>-12.010000000000005</v>
      </c>
      <c r="U43" s="127">
        <f t="shared" si="5"/>
        <v>-11.369999999999997</v>
      </c>
      <c r="V43" s="127">
        <f t="shared" si="5"/>
        <v>-10.82</v>
      </c>
      <c r="W43" s="127">
        <f t="shared" si="5"/>
        <v>-11.370000000000005</v>
      </c>
    </row>
    <row r="44" spans="1:23" ht="12.75">
      <c r="A44" s="130" t="s">
        <v>11</v>
      </c>
      <c r="B44" s="157">
        <v>2.67</v>
      </c>
      <c r="C44" s="157">
        <v>3.26</v>
      </c>
      <c r="D44" s="157">
        <v>2.16</v>
      </c>
      <c r="E44" s="157">
        <v>3.51</v>
      </c>
      <c r="F44" s="157">
        <v>2.46</v>
      </c>
      <c r="G44" s="157">
        <v>3.32</v>
      </c>
      <c r="H44" s="125"/>
      <c r="I44" s="130" t="s">
        <v>11</v>
      </c>
      <c r="J44" s="157">
        <v>5.05</v>
      </c>
      <c r="K44" s="157">
        <v>5.8</v>
      </c>
      <c r="L44" s="157">
        <v>4.61</v>
      </c>
      <c r="M44" s="157">
        <v>5.97</v>
      </c>
      <c r="N44" s="157">
        <v>4.9</v>
      </c>
      <c r="O44" s="157">
        <v>5.88</v>
      </c>
      <c r="Q44" s="128" t="str">
        <f t="shared" si="4"/>
        <v>C/dB</v>
      </c>
      <c r="R44" s="127">
        <f t="shared" si="5"/>
        <v>-2.38</v>
      </c>
      <c r="S44" s="127">
        <f t="shared" si="5"/>
        <v>-2.54</v>
      </c>
      <c r="T44" s="127">
        <f t="shared" si="5"/>
        <v>-2.45</v>
      </c>
      <c r="U44" s="127">
        <f t="shared" si="5"/>
        <v>-2.46</v>
      </c>
      <c r="V44" s="127">
        <f t="shared" si="5"/>
        <v>-2.4400000000000004</v>
      </c>
      <c r="W44" s="127">
        <f t="shared" si="5"/>
        <v>-2.56</v>
      </c>
    </row>
    <row r="45" spans="1:23" ht="12.75">
      <c r="A45" s="130" t="s">
        <v>12</v>
      </c>
      <c r="B45" s="157">
        <v>76.75</v>
      </c>
      <c r="C45" s="157">
        <v>70.79</v>
      </c>
      <c r="D45" s="157">
        <v>81.66</v>
      </c>
      <c r="E45" s="157">
        <v>68.5</v>
      </c>
      <c r="F45" s="157">
        <v>78.35</v>
      </c>
      <c r="G45" s="157">
        <v>69.2</v>
      </c>
      <c r="H45" s="125"/>
      <c r="I45" s="130" t="s">
        <v>12</v>
      </c>
      <c r="J45" s="157">
        <v>54.2</v>
      </c>
      <c r="K45" s="157">
        <v>48.59</v>
      </c>
      <c r="L45" s="157">
        <v>57.77</v>
      </c>
      <c r="M45" s="157">
        <v>47.39</v>
      </c>
      <c r="N45" s="157">
        <v>55.59</v>
      </c>
      <c r="O45" s="157">
        <v>48.03</v>
      </c>
      <c r="Q45" s="128" t="str">
        <f t="shared" si="4"/>
        <v>TS/ms</v>
      </c>
      <c r="R45" s="127">
        <f t="shared" si="5"/>
        <v>22.549999999999997</v>
      </c>
      <c r="S45" s="127">
        <f t="shared" si="5"/>
        <v>22.200000000000003</v>
      </c>
      <c r="T45" s="127">
        <f t="shared" si="5"/>
        <v>23.889999999999993</v>
      </c>
      <c r="U45" s="127">
        <f t="shared" si="5"/>
        <v>21.11</v>
      </c>
      <c r="V45" s="127">
        <f t="shared" si="5"/>
        <v>22.75999999999999</v>
      </c>
      <c r="W45" s="127">
        <f t="shared" si="5"/>
        <v>21.17</v>
      </c>
    </row>
    <row r="46" spans="1:23" ht="12.75">
      <c r="A46" s="130" t="s">
        <v>13</v>
      </c>
      <c r="B46" s="157">
        <v>19.62</v>
      </c>
      <c r="C46" s="157">
        <v>20.45</v>
      </c>
      <c r="D46" s="157">
        <v>19.55</v>
      </c>
      <c r="E46" s="157">
        <v>20.26</v>
      </c>
      <c r="F46" s="157">
        <v>19.73</v>
      </c>
      <c r="G46" s="157">
        <v>20.47</v>
      </c>
      <c r="H46" s="125"/>
      <c r="I46" s="130" t="s">
        <v>13</v>
      </c>
      <c r="J46" s="157">
        <v>18.02</v>
      </c>
      <c r="K46" s="157">
        <v>19.46</v>
      </c>
      <c r="L46" s="157">
        <v>18.13</v>
      </c>
      <c r="M46" s="157">
        <v>19</v>
      </c>
      <c r="N46" s="157">
        <v>18.47</v>
      </c>
      <c r="O46" s="157">
        <v>19.4</v>
      </c>
      <c r="Q46" s="128" t="str">
        <f t="shared" si="4"/>
        <v>G/dB</v>
      </c>
      <c r="R46" s="127">
        <f t="shared" si="5"/>
        <v>1.6000000000000014</v>
      </c>
      <c r="S46" s="127">
        <f t="shared" si="5"/>
        <v>0.9899999999999984</v>
      </c>
      <c r="T46" s="127">
        <f t="shared" si="5"/>
        <v>1.4200000000000017</v>
      </c>
      <c r="U46" s="127">
        <f t="shared" si="5"/>
        <v>1.2600000000000016</v>
      </c>
      <c r="V46" s="127">
        <f t="shared" si="5"/>
        <v>1.2600000000000016</v>
      </c>
      <c r="W46" s="127">
        <f t="shared" si="5"/>
        <v>1.0700000000000003</v>
      </c>
    </row>
    <row r="47" spans="1:23" ht="12.75">
      <c r="A47" s="130" t="s">
        <v>14</v>
      </c>
      <c r="B47" s="157">
        <v>28.52</v>
      </c>
      <c r="C47" s="157">
        <v>21.65</v>
      </c>
      <c r="D47" s="157">
        <v>25.35</v>
      </c>
      <c r="E47" s="157">
        <v>26.32</v>
      </c>
      <c r="F47" s="157">
        <v>30.13</v>
      </c>
      <c r="G47" s="157">
        <v>22.87</v>
      </c>
      <c r="H47" s="125"/>
      <c r="I47" s="130" t="s">
        <v>14</v>
      </c>
      <c r="J47" s="157">
        <v>25.24</v>
      </c>
      <c r="K47" s="157">
        <v>20.96</v>
      </c>
      <c r="L47" s="157">
        <v>24.72</v>
      </c>
      <c r="M47" s="157">
        <v>25.07</v>
      </c>
      <c r="N47" s="157">
        <v>29.08</v>
      </c>
      <c r="O47" s="157">
        <v>20.45</v>
      </c>
      <c r="Q47" s="128" t="str">
        <f t="shared" si="4"/>
        <v>LF/%</v>
      </c>
      <c r="R47" s="127">
        <f t="shared" si="5"/>
        <v>3.280000000000001</v>
      </c>
      <c r="S47" s="127">
        <f t="shared" si="5"/>
        <v>0.6899999999999977</v>
      </c>
      <c r="T47" s="127">
        <f t="shared" si="5"/>
        <v>0.6300000000000026</v>
      </c>
      <c r="U47" s="127">
        <f t="shared" si="5"/>
        <v>1.25</v>
      </c>
      <c r="V47" s="127">
        <f t="shared" si="5"/>
        <v>1.0500000000000007</v>
      </c>
      <c r="W47" s="127">
        <f t="shared" si="5"/>
        <v>2.4200000000000017</v>
      </c>
    </row>
    <row r="48" spans="1:23" ht="12.75">
      <c r="A48" s="130" t="s">
        <v>15</v>
      </c>
      <c r="B48" s="157">
        <v>40.64</v>
      </c>
      <c r="C48" s="157">
        <v>32.69</v>
      </c>
      <c r="D48" s="157">
        <v>39.19</v>
      </c>
      <c r="E48" s="157">
        <v>37.39</v>
      </c>
      <c r="F48" s="157">
        <v>42.79</v>
      </c>
      <c r="G48" s="157">
        <v>33.7</v>
      </c>
      <c r="H48" s="125"/>
      <c r="I48" s="130" t="s">
        <v>15</v>
      </c>
      <c r="J48" s="157">
        <v>36.51</v>
      </c>
      <c r="K48" s="157">
        <v>31.45</v>
      </c>
      <c r="L48" s="157">
        <v>38.29</v>
      </c>
      <c r="M48" s="157">
        <v>35.31</v>
      </c>
      <c r="N48" s="157">
        <v>41.72</v>
      </c>
      <c r="O48" s="157">
        <v>30.97</v>
      </c>
      <c r="Q48" s="128" t="str">
        <f t="shared" si="4"/>
        <v>LFC/%</v>
      </c>
      <c r="R48" s="127">
        <f t="shared" si="5"/>
        <v>4.130000000000003</v>
      </c>
      <c r="S48" s="127">
        <f t="shared" si="5"/>
        <v>1.2399999999999984</v>
      </c>
      <c r="T48" s="127">
        <f t="shared" si="5"/>
        <v>0.8999999999999986</v>
      </c>
      <c r="U48" s="127">
        <f t="shared" si="5"/>
        <v>2.0799999999999983</v>
      </c>
      <c r="V48" s="127">
        <f t="shared" si="5"/>
        <v>1.0700000000000003</v>
      </c>
      <c r="W48" s="127">
        <f t="shared" si="5"/>
        <v>2.730000000000004</v>
      </c>
    </row>
    <row r="49" spans="1:23" ht="12.75">
      <c r="A49" s="134" t="s">
        <v>16</v>
      </c>
      <c r="B49" s="135"/>
      <c r="C49" s="132"/>
      <c r="D49" s="132"/>
      <c r="E49" s="132"/>
      <c r="F49" s="132"/>
      <c r="G49" s="133"/>
      <c r="H49" s="125"/>
      <c r="I49" s="134" t="s">
        <v>16</v>
      </c>
      <c r="J49" s="135"/>
      <c r="K49" s="132"/>
      <c r="L49" s="132"/>
      <c r="M49" s="132"/>
      <c r="N49" s="132"/>
      <c r="O49" s="133"/>
      <c r="Q49" s="128" t="str">
        <f t="shared" si="4"/>
        <v>IACC</v>
      </c>
      <c r="R49" s="127">
        <f t="shared" si="5"/>
        <v>0</v>
      </c>
      <c r="S49" s="127">
        <f t="shared" si="5"/>
        <v>0</v>
      </c>
      <c r="T49" s="127">
        <f t="shared" si="5"/>
        <v>0</v>
      </c>
      <c r="U49" s="127">
        <f t="shared" si="5"/>
        <v>0</v>
      </c>
      <c r="V49" s="127">
        <f t="shared" si="5"/>
        <v>0</v>
      </c>
      <c r="W49" s="127">
        <f t="shared" si="5"/>
        <v>0</v>
      </c>
    </row>
    <row r="50" spans="5:23" ht="12.75">
      <c r="E50" s="136"/>
      <c r="F50" s="136"/>
      <c r="G50" s="136"/>
      <c r="H50" s="136"/>
      <c r="M50" s="136"/>
      <c r="N50" s="136"/>
      <c r="O50" s="136"/>
      <c r="R50" s="127"/>
      <c r="S50" s="127"/>
      <c r="T50" s="127"/>
      <c r="U50" s="127"/>
      <c r="V50" s="127"/>
      <c r="W50" s="127"/>
    </row>
    <row r="51" spans="1:18" ht="12.75">
      <c r="A51" s="155" t="s">
        <v>19</v>
      </c>
      <c r="B51" s="156" t="s">
        <v>1</v>
      </c>
      <c r="E51" s="136"/>
      <c r="F51" s="136"/>
      <c r="G51" s="136"/>
      <c r="H51" s="136"/>
      <c r="I51" s="155" t="s">
        <v>19</v>
      </c>
      <c r="J51" s="156" t="s">
        <v>1</v>
      </c>
      <c r="M51" s="136"/>
      <c r="N51" s="136"/>
      <c r="O51" s="136"/>
      <c r="Q51" s="128" t="str">
        <f>+A51</f>
        <v>1000 Hz</v>
      </c>
      <c r="R51" s="128" t="str">
        <f>+B51</f>
        <v>octave</v>
      </c>
    </row>
    <row r="52" spans="1:23" ht="12.75">
      <c r="A52" s="142"/>
      <c r="B52" s="140" t="s">
        <v>2</v>
      </c>
      <c r="C52" s="140" t="s">
        <v>3</v>
      </c>
      <c r="D52" s="139" t="s">
        <v>4</v>
      </c>
      <c r="E52" s="139" t="s">
        <v>5</v>
      </c>
      <c r="F52" s="140" t="s">
        <v>6</v>
      </c>
      <c r="G52" s="139" t="s">
        <v>7</v>
      </c>
      <c r="H52" s="141"/>
      <c r="I52" s="142"/>
      <c r="J52" s="140" t="s">
        <v>2</v>
      </c>
      <c r="K52" s="140" t="s">
        <v>3</v>
      </c>
      <c r="L52" s="139" t="s">
        <v>4</v>
      </c>
      <c r="M52" s="139" t="s">
        <v>5</v>
      </c>
      <c r="N52" s="140" t="s">
        <v>6</v>
      </c>
      <c r="O52" s="139" t="s">
        <v>7</v>
      </c>
      <c r="Q52" s="128">
        <f>+A52</f>
        <v>0</v>
      </c>
      <c r="R52" s="128" t="str">
        <f>+B52</f>
        <v>S1R1</v>
      </c>
      <c r="S52" s="128" t="str">
        <f>+C52</f>
        <v>S1R2</v>
      </c>
      <c r="T52" s="128" t="str">
        <f>+D52</f>
        <v>S1R3</v>
      </c>
      <c r="U52" s="128" t="str">
        <f>+E52</f>
        <v>S2R1</v>
      </c>
      <c r="V52" s="128" t="str">
        <f>+F52</f>
        <v>S2R2</v>
      </c>
      <c r="W52" s="128" t="str">
        <f>+G52</f>
        <v>S2R3</v>
      </c>
    </row>
    <row r="53" spans="1:23" ht="12.75">
      <c r="A53" s="130" t="s">
        <v>8</v>
      </c>
      <c r="B53" s="157">
        <v>1.1</v>
      </c>
      <c r="C53" s="157">
        <v>0.99</v>
      </c>
      <c r="D53" s="157">
        <v>1.03</v>
      </c>
      <c r="E53" s="157">
        <v>1.04</v>
      </c>
      <c r="F53" s="157">
        <v>1.03</v>
      </c>
      <c r="G53" s="157">
        <v>1.03</v>
      </c>
      <c r="H53" s="125"/>
      <c r="I53" s="130" t="s">
        <v>8</v>
      </c>
      <c r="J53" s="157">
        <v>0.72</v>
      </c>
      <c r="K53" s="157">
        <v>0.72</v>
      </c>
      <c r="L53" s="157">
        <v>0.71</v>
      </c>
      <c r="M53" s="157">
        <v>0.71</v>
      </c>
      <c r="N53" s="157">
        <v>0.72</v>
      </c>
      <c r="O53" s="157">
        <v>0.72</v>
      </c>
      <c r="Q53" s="128" t="str">
        <f aca="true" t="shared" si="6" ref="Q53:Q61">+A53</f>
        <v>T30/s</v>
      </c>
      <c r="R53" s="127">
        <f aca="true" t="shared" si="7" ref="R53:W61">+B53-J53</f>
        <v>0.3800000000000001</v>
      </c>
      <c r="S53" s="127">
        <f t="shared" si="7"/>
        <v>0.27</v>
      </c>
      <c r="T53" s="127">
        <f t="shared" si="7"/>
        <v>0.32000000000000006</v>
      </c>
      <c r="U53" s="127">
        <f t="shared" si="7"/>
        <v>0.33000000000000007</v>
      </c>
      <c r="V53" s="127">
        <f t="shared" si="7"/>
        <v>0.31000000000000005</v>
      </c>
      <c r="W53" s="127">
        <f t="shared" si="7"/>
        <v>0.31000000000000005</v>
      </c>
    </row>
    <row r="54" spans="1:23" ht="12.75">
      <c r="A54" s="130" t="s">
        <v>9</v>
      </c>
      <c r="B54" s="157">
        <v>1</v>
      </c>
      <c r="C54" s="157">
        <v>1.01</v>
      </c>
      <c r="D54" s="157">
        <v>1.01</v>
      </c>
      <c r="E54" s="157">
        <v>1</v>
      </c>
      <c r="F54" s="157">
        <v>1.01</v>
      </c>
      <c r="G54" s="157">
        <v>0.96</v>
      </c>
      <c r="H54" s="125"/>
      <c r="I54" s="130" t="s">
        <v>9</v>
      </c>
      <c r="J54" s="157">
        <v>0.71</v>
      </c>
      <c r="K54" s="157">
        <v>0.69</v>
      </c>
      <c r="L54" s="157">
        <v>0.69</v>
      </c>
      <c r="M54" s="157">
        <v>0.68</v>
      </c>
      <c r="N54" s="157">
        <v>0.71</v>
      </c>
      <c r="O54" s="157">
        <v>0.68</v>
      </c>
      <c r="Q54" s="128" t="str">
        <f t="shared" si="6"/>
        <v>EDT/s</v>
      </c>
      <c r="R54" s="127">
        <f t="shared" si="7"/>
        <v>0.29000000000000004</v>
      </c>
      <c r="S54" s="127">
        <f t="shared" si="7"/>
        <v>0.32000000000000006</v>
      </c>
      <c r="T54" s="127">
        <f t="shared" si="7"/>
        <v>0.32000000000000006</v>
      </c>
      <c r="U54" s="127">
        <f t="shared" si="7"/>
        <v>0.31999999999999995</v>
      </c>
      <c r="V54" s="127">
        <f t="shared" si="7"/>
        <v>0.30000000000000004</v>
      </c>
      <c r="W54" s="127">
        <f t="shared" si="7"/>
        <v>0.2799999999999999</v>
      </c>
    </row>
    <row r="55" spans="1:23" ht="12.75">
      <c r="A55" s="130" t="s">
        <v>10</v>
      </c>
      <c r="B55" s="157">
        <v>53.76</v>
      </c>
      <c r="C55" s="157">
        <v>57.66</v>
      </c>
      <c r="D55" s="157">
        <v>51.49</v>
      </c>
      <c r="E55" s="157">
        <v>58.2</v>
      </c>
      <c r="F55" s="157">
        <v>52.85</v>
      </c>
      <c r="G55" s="157">
        <v>59.85</v>
      </c>
      <c r="H55" s="125"/>
      <c r="I55" s="130" t="s">
        <v>10</v>
      </c>
      <c r="J55" s="157">
        <v>66.85</v>
      </c>
      <c r="K55" s="157">
        <v>70.37</v>
      </c>
      <c r="L55" s="157">
        <v>65.37</v>
      </c>
      <c r="M55" s="157">
        <v>70.94</v>
      </c>
      <c r="N55" s="157">
        <v>64.48</v>
      </c>
      <c r="O55" s="157">
        <v>70.85</v>
      </c>
      <c r="Q55" s="128" t="str">
        <f t="shared" si="6"/>
        <v>D/%</v>
      </c>
      <c r="R55" s="127">
        <f t="shared" si="7"/>
        <v>-13.089999999999996</v>
      </c>
      <c r="S55" s="127">
        <f t="shared" si="7"/>
        <v>-12.710000000000008</v>
      </c>
      <c r="T55" s="127">
        <f t="shared" si="7"/>
        <v>-13.880000000000003</v>
      </c>
      <c r="U55" s="127">
        <f t="shared" si="7"/>
        <v>-12.739999999999995</v>
      </c>
      <c r="V55" s="127">
        <f t="shared" si="7"/>
        <v>-11.630000000000003</v>
      </c>
      <c r="W55" s="127">
        <f t="shared" si="7"/>
        <v>-10.999999999999993</v>
      </c>
    </row>
    <row r="56" spans="1:23" ht="12.75">
      <c r="A56" s="130" t="s">
        <v>11</v>
      </c>
      <c r="B56" s="157">
        <v>3.52</v>
      </c>
      <c r="C56" s="157">
        <v>3.95</v>
      </c>
      <c r="D56" s="157">
        <v>3.2</v>
      </c>
      <c r="E56" s="157">
        <v>4.2</v>
      </c>
      <c r="F56" s="157">
        <v>3.35</v>
      </c>
      <c r="G56" s="157">
        <v>4.3</v>
      </c>
      <c r="H56" s="125"/>
      <c r="I56" s="130" t="s">
        <v>11</v>
      </c>
      <c r="J56" s="157">
        <v>6.33</v>
      </c>
      <c r="K56" s="157">
        <v>7.06</v>
      </c>
      <c r="L56" s="157">
        <v>6.2</v>
      </c>
      <c r="M56" s="157">
        <v>7.2</v>
      </c>
      <c r="N56" s="157">
        <v>6.03</v>
      </c>
      <c r="O56" s="157">
        <v>7.19</v>
      </c>
      <c r="Q56" s="128" t="str">
        <f t="shared" si="6"/>
        <v>C/dB</v>
      </c>
      <c r="R56" s="127">
        <f t="shared" si="7"/>
        <v>-2.81</v>
      </c>
      <c r="S56" s="127">
        <f t="shared" si="7"/>
        <v>-3.1099999999999994</v>
      </c>
      <c r="T56" s="127">
        <f t="shared" si="7"/>
        <v>-3</v>
      </c>
      <c r="U56" s="127">
        <f t="shared" si="7"/>
        <v>-3</v>
      </c>
      <c r="V56" s="127">
        <f t="shared" si="7"/>
        <v>-2.68</v>
      </c>
      <c r="W56" s="127">
        <f t="shared" si="7"/>
        <v>-2.8900000000000006</v>
      </c>
    </row>
    <row r="57" spans="1:23" ht="12.75">
      <c r="A57" s="130" t="s">
        <v>12</v>
      </c>
      <c r="B57" s="157">
        <v>67.95</v>
      </c>
      <c r="C57" s="157">
        <v>62.19</v>
      </c>
      <c r="D57" s="157">
        <v>71.11</v>
      </c>
      <c r="E57" s="157">
        <v>60.96</v>
      </c>
      <c r="F57" s="157">
        <v>69.31</v>
      </c>
      <c r="G57" s="157">
        <v>59.44</v>
      </c>
      <c r="H57" s="125"/>
      <c r="I57" s="130" t="s">
        <v>12</v>
      </c>
      <c r="J57" s="157">
        <v>46.49</v>
      </c>
      <c r="K57" s="157">
        <v>41.23</v>
      </c>
      <c r="L57" s="157">
        <v>48.32</v>
      </c>
      <c r="M57" s="157">
        <v>40.15</v>
      </c>
      <c r="N57" s="157">
        <v>47.68</v>
      </c>
      <c r="O57" s="157">
        <v>40.09</v>
      </c>
      <c r="Q57" s="128" t="str">
        <f t="shared" si="6"/>
        <v>TS/ms</v>
      </c>
      <c r="R57" s="127">
        <f t="shared" si="7"/>
        <v>21.46</v>
      </c>
      <c r="S57" s="127">
        <f t="shared" si="7"/>
        <v>20.96</v>
      </c>
      <c r="T57" s="127">
        <f t="shared" si="7"/>
        <v>22.79</v>
      </c>
      <c r="U57" s="127">
        <f t="shared" si="7"/>
        <v>20.810000000000002</v>
      </c>
      <c r="V57" s="127">
        <f t="shared" si="7"/>
        <v>21.630000000000003</v>
      </c>
      <c r="W57" s="127">
        <f t="shared" si="7"/>
        <v>19.349999999999994</v>
      </c>
    </row>
    <row r="58" spans="1:23" ht="12.75">
      <c r="A58" s="130" t="s">
        <v>13</v>
      </c>
      <c r="B58" s="157">
        <v>19.03</v>
      </c>
      <c r="C58" s="157">
        <v>20.1</v>
      </c>
      <c r="D58" s="157">
        <v>18.89</v>
      </c>
      <c r="E58" s="157">
        <v>19.8</v>
      </c>
      <c r="F58" s="157">
        <v>19.23</v>
      </c>
      <c r="G58" s="157">
        <v>19.94</v>
      </c>
      <c r="H58" s="125"/>
      <c r="I58" s="130" t="s">
        <v>13</v>
      </c>
      <c r="J58" s="157">
        <v>17.59</v>
      </c>
      <c r="K58" s="157">
        <v>19.07</v>
      </c>
      <c r="L58" s="157">
        <v>17.55</v>
      </c>
      <c r="M58" s="157">
        <v>18.48</v>
      </c>
      <c r="N58" s="157">
        <v>17.93</v>
      </c>
      <c r="O58" s="157">
        <v>18.93</v>
      </c>
      <c r="Q58" s="128" t="str">
        <f t="shared" si="6"/>
        <v>G/dB</v>
      </c>
      <c r="R58" s="127">
        <f t="shared" si="7"/>
        <v>1.4400000000000013</v>
      </c>
      <c r="S58" s="127">
        <f t="shared" si="7"/>
        <v>1.0300000000000011</v>
      </c>
      <c r="T58" s="127">
        <f t="shared" si="7"/>
        <v>1.3399999999999999</v>
      </c>
      <c r="U58" s="127">
        <f t="shared" si="7"/>
        <v>1.3200000000000003</v>
      </c>
      <c r="V58" s="127">
        <f t="shared" si="7"/>
        <v>1.3000000000000007</v>
      </c>
      <c r="W58" s="127">
        <f t="shared" si="7"/>
        <v>1.0100000000000016</v>
      </c>
    </row>
    <row r="59" spans="1:23" ht="12.75">
      <c r="A59" s="130" t="s">
        <v>14</v>
      </c>
      <c r="B59" s="157">
        <v>27.34</v>
      </c>
      <c r="C59" s="157">
        <v>21.89</v>
      </c>
      <c r="D59" s="157">
        <v>27.02</v>
      </c>
      <c r="E59" s="157">
        <v>26.16</v>
      </c>
      <c r="F59" s="157">
        <v>30.26</v>
      </c>
      <c r="G59" s="157">
        <v>21.98</v>
      </c>
      <c r="H59" s="125"/>
      <c r="I59" s="130" t="s">
        <v>14</v>
      </c>
      <c r="J59" s="157">
        <v>24.53</v>
      </c>
      <c r="K59" s="157">
        <v>20.74</v>
      </c>
      <c r="L59" s="157">
        <v>24.24</v>
      </c>
      <c r="M59" s="157">
        <v>23.22</v>
      </c>
      <c r="N59" s="157">
        <v>29.08</v>
      </c>
      <c r="O59" s="157">
        <v>19.73</v>
      </c>
      <c r="Q59" s="128" t="str">
        <f t="shared" si="6"/>
        <v>LF/%</v>
      </c>
      <c r="R59" s="127">
        <f t="shared" si="7"/>
        <v>2.8099999999999987</v>
      </c>
      <c r="S59" s="127">
        <f t="shared" si="7"/>
        <v>1.1500000000000021</v>
      </c>
      <c r="T59" s="127">
        <f t="shared" si="7"/>
        <v>2.780000000000001</v>
      </c>
      <c r="U59" s="127">
        <f t="shared" si="7"/>
        <v>2.9400000000000013</v>
      </c>
      <c r="V59" s="127">
        <f t="shared" si="7"/>
        <v>1.1800000000000033</v>
      </c>
      <c r="W59" s="127">
        <f t="shared" si="7"/>
        <v>2.25</v>
      </c>
    </row>
    <row r="60" spans="1:23" ht="12.75">
      <c r="A60" s="130" t="s">
        <v>15</v>
      </c>
      <c r="B60" s="157">
        <v>38.84</v>
      </c>
      <c r="C60" s="157">
        <v>32.67</v>
      </c>
      <c r="D60" s="157">
        <v>40.36</v>
      </c>
      <c r="E60" s="157">
        <v>36.8</v>
      </c>
      <c r="F60" s="157">
        <v>42.87</v>
      </c>
      <c r="G60" s="157">
        <v>32.58</v>
      </c>
      <c r="H60" s="125"/>
      <c r="I60" s="130" t="s">
        <v>15</v>
      </c>
      <c r="J60" s="157">
        <v>35.41</v>
      </c>
      <c r="K60" s="157">
        <v>31.11</v>
      </c>
      <c r="L60" s="157">
        <v>37.76</v>
      </c>
      <c r="M60" s="157">
        <v>33.07</v>
      </c>
      <c r="N60" s="157">
        <v>41.35</v>
      </c>
      <c r="O60" s="157">
        <v>29.52</v>
      </c>
      <c r="Q60" s="128" t="str">
        <f t="shared" si="6"/>
        <v>LFC/%</v>
      </c>
      <c r="R60" s="127">
        <f t="shared" si="7"/>
        <v>3.430000000000007</v>
      </c>
      <c r="S60" s="127">
        <f t="shared" si="7"/>
        <v>1.5600000000000023</v>
      </c>
      <c r="T60" s="127">
        <f t="shared" si="7"/>
        <v>2.6000000000000014</v>
      </c>
      <c r="U60" s="127">
        <f t="shared" si="7"/>
        <v>3.729999999999997</v>
      </c>
      <c r="V60" s="127">
        <f t="shared" si="7"/>
        <v>1.519999999999996</v>
      </c>
      <c r="W60" s="127">
        <f t="shared" si="7"/>
        <v>3.0599999999999987</v>
      </c>
    </row>
    <row r="61" spans="1:23" ht="12.75">
      <c r="A61" s="134" t="s">
        <v>16</v>
      </c>
      <c r="B61" s="135"/>
      <c r="C61" s="132"/>
      <c r="D61" s="132"/>
      <c r="E61" s="132"/>
      <c r="F61" s="132"/>
      <c r="G61" s="133"/>
      <c r="H61" s="125"/>
      <c r="I61" s="134" t="s">
        <v>16</v>
      </c>
      <c r="J61" s="135"/>
      <c r="K61" s="132"/>
      <c r="L61" s="132"/>
      <c r="M61" s="132"/>
      <c r="N61" s="132"/>
      <c r="O61" s="133"/>
      <c r="Q61" s="128" t="str">
        <f t="shared" si="6"/>
        <v>IACC</v>
      </c>
      <c r="R61" s="127">
        <f t="shared" si="7"/>
        <v>0</v>
      </c>
      <c r="S61" s="127">
        <f t="shared" si="7"/>
        <v>0</v>
      </c>
      <c r="T61" s="127">
        <f t="shared" si="7"/>
        <v>0</v>
      </c>
      <c r="U61" s="127">
        <f t="shared" si="7"/>
        <v>0</v>
      </c>
      <c r="V61" s="127">
        <f t="shared" si="7"/>
        <v>0</v>
      </c>
      <c r="W61" s="127">
        <f t="shared" si="7"/>
        <v>0</v>
      </c>
    </row>
    <row r="62" spans="5:15" ht="12.75">
      <c r="E62" s="136"/>
      <c r="F62" s="136"/>
      <c r="G62" s="136"/>
      <c r="H62" s="136"/>
      <c r="M62" s="136"/>
      <c r="N62" s="136"/>
      <c r="O62" s="136"/>
    </row>
    <row r="63" spans="1:18" ht="12.75">
      <c r="A63" s="155" t="s">
        <v>20</v>
      </c>
      <c r="B63" s="156" t="s">
        <v>1</v>
      </c>
      <c r="E63" s="136"/>
      <c r="F63" s="136"/>
      <c r="G63" s="136"/>
      <c r="H63" s="136"/>
      <c r="I63" s="155" t="s">
        <v>20</v>
      </c>
      <c r="J63" s="156" t="s">
        <v>1</v>
      </c>
      <c r="M63" s="136"/>
      <c r="N63" s="136"/>
      <c r="O63" s="136"/>
      <c r="Q63" s="128" t="str">
        <f>+A63</f>
        <v>2000 Hz</v>
      </c>
      <c r="R63" s="128" t="str">
        <f>+B63</f>
        <v>octave</v>
      </c>
    </row>
    <row r="64" spans="1:23" ht="12.75">
      <c r="A64" s="142"/>
      <c r="B64" s="140" t="s">
        <v>2</v>
      </c>
      <c r="C64" s="140" t="s">
        <v>3</v>
      </c>
      <c r="D64" s="139" t="s">
        <v>4</v>
      </c>
      <c r="E64" s="139" t="s">
        <v>5</v>
      </c>
      <c r="F64" s="140" t="s">
        <v>6</v>
      </c>
      <c r="G64" s="139" t="s">
        <v>7</v>
      </c>
      <c r="H64" s="141"/>
      <c r="I64" s="142"/>
      <c r="J64" s="140" t="s">
        <v>2</v>
      </c>
      <c r="K64" s="140" t="s">
        <v>3</v>
      </c>
      <c r="L64" s="139" t="s">
        <v>4</v>
      </c>
      <c r="M64" s="139" t="s">
        <v>5</v>
      </c>
      <c r="N64" s="140" t="s">
        <v>6</v>
      </c>
      <c r="O64" s="139" t="s">
        <v>7</v>
      </c>
      <c r="Q64" s="128">
        <f>+A64</f>
        <v>0</v>
      </c>
      <c r="R64" s="128" t="str">
        <f>+B64</f>
        <v>S1R1</v>
      </c>
      <c r="S64" s="128" t="str">
        <f>+C64</f>
        <v>S1R2</v>
      </c>
      <c r="T64" s="128" t="str">
        <f>+D64</f>
        <v>S1R3</v>
      </c>
      <c r="U64" s="128" t="str">
        <f>+E64</f>
        <v>S2R1</v>
      </c>
      <c r="V64" s="128" t="str">
        <f>+F64</f>
        <v>S2R2</v>
      </c>
      <c r="W64" s="128" t="str">
        <f>+G64</f>
        <v>S2R3</v>
      </c>
    </row>
    <row r="65" spans="1:23" ht="12.75">
      <c r="A65" s="130" t="s">
        <v>8</v>
      </c>
      <c r="B65" s="157">
        <v>1.18</v>
      </c>
      <c r="C65" s="157">
        <v>1.17</v>
      </c>
      <c r="D65" s="157">
        <v>1.19</v>
      </c>
      <c r="E65" s="157">
        <v>1.12</v>
      </c>
      <c r="F65" s="157">
        <v>1.13</v>
      </c>
      <c r="G65" s="157">
        <v>1.13</v>
      </c>
      <c r="H65" s="125"/>
      <c r="I65" s="130" t="s">
        <v>8</v>
      </c>
      <c r="J65" s="157">
        <v>0.72</v>
      </c>
      <c r="K65" s="157">
        <v>0.72</v>
      </c>
      <c r="L65" s="157">
        <v>0.77</v>
      </c>
      <c r="M65" s="157">
        <v>0.72</v>
      </c>
      <c r="N65" s="157">
        <v>0.73</v>
      </c>
      <c r="O65" s="157">
        <v>0.72</v>
      </c>
      <c r="Q65" s="128" t="str">
        <f aca="true" t="shared" si="8" ref="Q65:Q73">+A65</f>
        <v>T30/s</v>
      </c>
      <c r="R65" s="127">
        <f aca="true" t="shared" si="9" ref="R65:W73">+B65-J65</f>
        <v>0.45999999999999996</v>
      </c>
      <c r="S65" s="127">
        <f t="shared" si="9"/>
        <v>0.44999999999999996</v>
      </c>
      <c r="T65" s="127">
        <f t="shared" si="9"/>
        <v>0.41999999999999993</v>
      </c>
      <c r="U65" s="127">
        <f t="shared" si="9"/>
        <v>0.40000000000000013</v>
      </c>
      <c r="V65" s="127">
        <f t="shared" si="9"/>
        <v>0.3999999999999999</v>
      </c>
      <c r="W65" s="127">
        <f t="shared" si="9"/>
        <v>0.4099999999999999</v>
      </c>
    </row>
    <row r="66" spans="1:23" ht="12.75">
      <c r="A66" s="130" t="s">
        <v>9</v>
      </c>
      <c r="B66" s="157">
        <v>1.12</v>
      </c>
      <c r="C66" s="157">
        <v>1.12</v>
      </c>
      <c r="D66" s="157">
        <v>1.14</v>
      </c>
      <c r="E66" s="157">
        <v>1.09</v>
      </c>
      <c r="F66" s="157">
        <v>1.15</v>
      </c>
      <c r="G66" s="157">
        <v>1.12</v>
      </c>
      <c r="H66" s="125"/>
      <c r="I66" s="130" t="s">
        <v>9</v>
      </c>
      <c r="J66" s="157">
        <v>0.71</v>
      </c>
      <c r="K66" s="157">
        <v>0.71</v>
      </c>
      <c r="L66" s="157">
        <v>0.73</v>
      </c>
      <c r="M66" s="157">
        <v>0.69</v>
      </c>
      <c r="N66" s="157">
        <v>0.74</v>
      </c>
      <c r="O66" s="157">
        <v>0.7</v>
      </c>
      <c r="Q66" s="128" t="str">
        <f t="shared" si="8"/>
        <v>EDT/s</v>
      </c>
      <c r="R66" s="127">
        <f t="shared" si="9"/>
        <v>0.41000000000000014</v>
      </c>
      <c r="S66" s="127">
        <f t="shared" si="9"/>
        <v>0.41000000000000014</v>
      </c>
      <c r="T66" s="127">
        <f t="shared" si="9"/>
        <v>0.4099999999999999</v>
      </c>
      <c r="U66" s="127">
        <f t="shared" si="9"/>
        <v>0.40000000000000013</v>
      </c>
      <c r="V66" s="127">
        <f t="shared" si="9"/>
        <v>0.4099999999999999</v>
      </c>
      <c r="W66" s="127">
        <f t="shared" si="9"/>
        <v>0.42000000000000015</v>
      </c>
    </row>
    <row r="67" spans="1:23" ht="12.75">
      <c r="A67" s="130" t="s">
        <v>10</v>
      </c>
      <c r="B67" s="157">
        <v>50.4</v>
      </c>
      <c r="C67" s="157">
        <v>53.58</v>
      </c>
      <c r="D67" s="157">
        <v>46.73</v>
      </c>
      <c r="E67" s="157">
        <v>55.27</v>
      </c>
      <c r="F67" s="157">
        <v>49.47</v>
      </c>
      <c r="G67" s="157">
        <v>55.41</v>
      </c>
      <c r="H67" s="125"/>
      <c r="I67" s="130" t="s">
        <v>10</v>
      </c>
      <c r="J67" s="157">
        <v>65.68</v>
      </c>
      <c r="K67" s="157">
        <v>69.72</v>
      </c>
      <c r="L67" s="157">
        <v>62.89</v>
      </c>
      <c r="M67" s="157">
        <v>70.2</v>
      </c>
      <c r="N67" s="157">
        <v>64.23</v>
      </c>
      <c r="O67" s="157">
        <v>70.69</v>
      </c>
      <c r="Q67" s="128" t="str">
        <f t="shared" si="8"/>
        <v>D/%</v>
      </c>
      <c r="R67" s="127">
        <f t="shared" si="9"/>
        <v>-15.280000000000008</v>
      </c>
      <c r="S67" s="127">
        <f t="shared" si="9"/>
        <v>-16.14</v>
      </c>
      <c r="T67" s="127">
        <f t="shared" si="9"/>
        <v>-16.160000000000004</v>
      </c>
      <c r="U67" s="127">
        <f t="shared" si="9"/>
        <v>-14.93</v>
      </c>
      <c r="V67" s="127">
        <f t="shared" si="9"/>
        <v>-14.760000000000005</v>
      </c>
      <c r="W67" s="127">
        <f t="shared" si="9"/>
        <v>-15.280000000000001</v>
      </c>
    </row>
    <row r="68" spans="1:23" ht="12.75">
      <c r="A68" s="130" t="s">
        <v>11</v>
      </c>
      <c r="B68" s="157">
        <v>2.95</v>
      </c>
      <c r="C68" s="157">
        <v>3.28</v>
      </c>
      <c r="D68" s="157">
        <v>2.32</v>
      </c>
      <c r="E68" s="157">
        <v>3.45</v>
      </c>
      <c r="F68" s="157">
        <v>2.53</v>
      </c>
      <c r="G68" s="157">
        <v>3.43</v>
      </c>
      <c r="H68" s="125"/>
      <c r="I68" s="130" t="s">
        <v>11</v>
      </c>
      <c r="J68" s="157">
        <v>6.3</v>
      </c>
      <c r="K68" s="157">
        <v>6.9</v>
      </c>
      <c r="L68" s="157">
        <v>5.79</v>
      </c>
      <c r="M68" s="157">
        <v>7.14</v>
      </c>
      <c r="N68" s="157">
        <v>5.75</v>
      </c>
      <c r="O68" s="157">
        <v>6.93</v>
      </c>
      <c r="Q68" s="128" t="str">
        <f t="shared" si="8"/>
        <v>C/dB</v>
      </c>
      <c r="R68" s="127">
        <f t="shared" si="9"/>
        <v>-3.3499999999999996</v>
      </c>
      <c r="S68" s="127">
        <f t="shared" si="9"/>
        <v>-3.6200000000000006</v>
      </c>
      <c r="T68" s="127">
        <f t="shared" si="9"/>
        <v>-3.47</v>
      </c>
      <c r="U68" s="127">
        <f t="shared" si="9"/>
        <v>-3.6899999999999995</v>
      </c>
      <c r="V68" s="127">
        <f t="shared" si="9"/>
        <v>-3.22</v>
      </c>
      <c r="W68" s="127">
        <f t="shared" si="9"/>
        <v>-3.4999999999999996</v>
      </c>
    </row>
    <row r="69" spans="1:23" ht="12.75">
      <c r="A69" s="130" t="s">
        <v>12</v>
      </c>
      <c r="B69" s="157">
        <v>76</v>
      </c>
      <c r="C69" s="157">
        <v>70.61</v>
      </c>
      <c r="D69" s="157">
        <v>81.62</v>
      </c>
      <c r="E69" s="157">
        <v>68.19</v>
      </c>
      <c r="F69" s="157">
        <v>78.03</v>
      </c>
      <c r="G69" s="157">
        <v>68.65</v>
      </c>
      <c r="H69" s="125"/>
      <c r="I69" s="130" t="s">
        <v>12</v>
      </c>
      <c r="J69" s="157">
        <v>46.86</v>
      </c>
      <c r="K69" s="157">
        <v>41.81</v>
      </c>
      <c r="L69" s="157">
        <v>51.06</v>
      </c>
      <c r="M69" s="157">
        <v>40.6</v>
      </c>
      <c r="N69" s="157">
        <v>48.84</v>
      </c>
      <c r="O69" s="157">
        <v>41.58</v>
      </c>
      <c r="Q69" s="128" t="str">
        <f t="shared" si="8"/>
        <v>TS/ms</v>
      </c>
      <c r="R69" s="127">
        <f t="shared" si="9"/>
        <v>29.14</v>
      </c>
      <c r="S69" s="127">
        <f t="shared" si="9"/>
        <v>28.799999999999997</v>
      </c>
      <c r="T69" s="127">
        <f t="shared" si="9"/>
        <v>30.560000000000002</v>
      </c>
      <c r="U69" s="127">
        <f t="shared" si="9"/>
        <v>27.589999999999996</v>
      </c>
      <c r="V69" s="127">
        <f t="shared" si="9"/>
        <v>29.189999999999998</v>
      </c>
      <c r="W69" s="127">
        <f t="shared" si="9"/>
        <v>27.070000000000007</v>
      </c>
    </row>
    <row r="70" spans="1:23" ht="12.75">
      <c r="A70" s="130" t="s">
        <v>13</v>
      </c>
      <c r="B70" s="157">
        <v>19.66</v>
      </c>
      <c r="C70" s="157">
        <v>20.51</v>
      </c>
      <c r="D70" s="157">
        <v>19.45</v>
      </c>
      <c r="E70" s="157">
        <v>20.21</v>
      </c>
      <c r="F70" s="157">
        <v>19.65</v>
      </c>
      <c r="G70" s="157">
        <v>20.37</v>
      </c>
      <c r="H70" s="125"/>
      <c r="I70" s="130" t="s">
        <v>13</v>
      </c>
      <c r="J70" s="157">
        <v>17.55</v>
      </c>
      <c r="K70" s="157">
        <v>19.07</v>
      </c>
      <c r="L70" s="157">
        <v>17.64</v>
      </c>
      <c r="M70" s="157">
        <v>18.49</v>
      </c>
      <c r="N70" s="157">
        <v>17.96</v>
      </c>
      <c r="O70" s="157">
        <v>19.06</v>
      </c>
      <c r="Q70" s="128" t="str">
        <f t="shared" si="8"/>
        <v>G/dB</v>
      </c>
      <c r="R70" s="127">
        <f t="shared" si="9"/>
        <v>2.1099999999999994</v>
      </c>
      <c r="S70" s="127">
        <f t="shared" si="9"/>
        <v>1.4400000000000013</v>
      </c>
      <c r="T70" s="127">
        <f t="shared" si="9"/>
        <v>1.8099999999999987</v>
      </c>
      <c r="U70" s="127">
        <f t="shared" si="9"/>
        <v>1.7200000000000024</v>
      </c>
      <c r="V70" s="127">
        <f t="shared" si="9"/>
        <v>1.6899999999999977</v>
      </c>
      <c r="W70" s="127">
        <f t="shared" si="9"/>
        <v>1.3100000000000023</v>
      </c>
    </row>
    <row r="71" spans="1:23" ht="12.75">
      <c r="A71" s="130" t="s">
        <v>14</v>
      </c>
      <c r="B71" s="157">
        <v>28.76</v>
      </c>
      <c r="C71" s="157">
        <v>22.55</v>
      </c>
      <c r="D71" s="157">
        <v>24.8</v>
      </c>
      <c r="E71" s="157">
        <v>26.09</v>
      </c>
      <c r="F71" s="157">
        <v>30.07</v>
      </c>
      <c r="G71" s="157">
        <v>22.97</v>
      </c>
      <c r="H71" s="125"/>
      <c r="I71" s="130" t="s">
        <v>14</v>
      </c>
      <c r="J71" s="157">
        <v>23.1</v>
      </c>
      <c r="K71" s="157">
        <v>21.13</v>
      </c>
      <c r="L71" s="157">
        <v>23.97</v>
      </c>
      <c r="M71" s="157">
        <v>22.52</v>
      </c>
      <c r="N71" s="157">
        <v>29.42</v>
      </c>
      <c r="O71" s="157">
        <v>20.84</v>
      </c>
      <c r="Q71" s="128" t="str">
        <f t="shared" si="8"/>
        <v>LF/%</v>
      </c>
      <c r="R71" s="127">
        <f t="shared" si="9"/>
        <v>5.66</v>
      </c>
      <c r="S71" s="127">
        <f t="shared" si="9"/>
        <v>1.4200000000000017</v>
      </c>
      <c r="T71" s="127">
        <f t="shared" si="9"/>
        <v>0.8300000000000018</v>
      </c>
      <c r="U71" s="127">
        <f t="shared" si="9"/>
        <v>3.5700000000000003</v>
      </c>
      <c r="V71" s="127">
        <f t="shared" si="9"/>
        <v>0.6499999999999986</v>
      </c>
      <c r="W71" s="127">
        <f t="shared" si="9"/>
        <v>2.129999999999999</v>
      </c>
    </row>
    <row r="72" spans="1:23" ht="12.75">
      <c r="A72" s="130" t="s">
        <v>15</v>
      </c>
      <c r="B72" s="157">
        <v>40.93</v>
      </c>
      <c r="C72" s="157">
        <v>33.57</v>
      </c>
      <c r="D72" s="157">
        <v>38.64</v>
      </c>
      <c r="E72" s="157">
        <v>37.01</v>
      </c>
      <c r="F72" s="157">
        <v>42.71</v>
      </c>
      <c r="G72" s="157">
        <v>33.74</v>
      </c>
      <c r="H72" s="125"/>
      <c r="I72" s="130" t="s">
        <v>15</v>
      </c>
      <c r="J72" s="157">
        <v>34.06</v>
      </c>
      <c r="K72" s="157">
        <v>31.37</v>
      </c>
      <c r="L72" s="157">
        <v>37.51</v>
      </c>
      <c r="M72" s="157">
        <v>32.63</v>
      </c>
      <c r="N72" s="157">
        <v>41.84</v>
      </c>
      <c r="O72" s="157">
        <v>30.87</v>
      </c>
      <c r="Q72" s="128" t="str">
        <f t="shared" si="8"/>
        <v>LFC/%</v>
      </c>
      <c r="R72" s="127">
        <f t="shared" si="9"/>
        <v>6.869999999999997</v>
      </c>
      <c r="S72" s="127">
        <f t="shared" si="9"/>
        <v>2.1999999999999993</v>
      </c>
      <c r="T72" s="127">
        <f t="shared" si="9"/>
        <v>1.1300000000000026</v>
      </c>
      <c r="U72" s="127">
        <f t="shared" si="9"/>
        <v>4.3799999999999955</v>
      </c>
      <c r="V72" s="127">
        <f t="shared" si="9"/>
        <v>0.8699999999999974</v>
      </c>
      <c r="W72" s="127">
        <f t="shared" si="9"/>
        <v>2.870000000000001</v>
      </c>
    </row>
    <row r="73" spans="1:23" ht="12.75">
      <c r="A73" s="134" t="s">
        <v>16</v>
      </c>
      <c r="B73" s="135"/>
      <c r="C73" s="132"/>
      <c r="D73" s="132"/>
      <c r="E73" s="132"/>
      <c r="F73" s="132"/>
      <c r="G73" s="133"/>
      <c r="H73" s="125"/>
      <c r="I73" s="134" t="s">
        <v>16</v>
      </c>
      <c r="J73" s="135"/>
      <c r="K73" s="132"/>
      <c r="L73" s="132"/>
      <c r="M73" s="132"/>
      <c r="N73" s="132"/>
      <c r="O73" s="133"/>
      <c r="Q73" s="128" t="str">
        <f t="shared" si="8"/>
        <v>IACC</v>
      </c>
      <c r="R73" s="127">
        <f t="shared" si="9"/>
        <v>0</v>
      </c>
      <c r="S73" s="127">
        <f t="shared" si="9"/>
        <v>0</v>
      </c>
      <c r="T73" s="127">
        <f t="shared" si="9"/>
        <v>0</v>
      </c>
      <c r="U73" s="127">
        <f t="shared" si="9"/>
        <v>0</v>
      </c>
      <c r="V73" s="127">
        <f t="shared" si="9"/>
        <v>0</v>
      </c>
      <c r="W73" s="127">
        <f t="shared" si="9"/>
        <v>0</v>
      </c>
    </row>
    <row r="74" spans="5:15" ht="12.75">
      <c r="E74" s="136"/>
      <c r="F74" s="136"/>
      <c r="G74" s="136"/>
      <c r="H74" s="136"/>
      <c r="M74" s="136"/>
      <c r="N74" s="136"/>
      <c r="O74" s="136"/>
    </row>
    <row r="75" spans="1:18" ht="12.75">
      <c r="A75" s="155" t="s">
        <v>21</v>
      </c>
      <c r="B75" s="156" t="s">
        <v>1</v>
      </c>
      <c r="E75" s="136"/>
      <c r="F75" s="136"/>
      <c r="G75" s="136"/>
      <c r="H75" s="136"/>
      <c r="I75" s="155" t="s">
        <v>21</v>
      </c>
      <c r="J75" s="156" t="s">
        <v>1</v>
      </c>
      <c r="M75" s="136"/>
      <c r="N75" s="136"/>
      <c r="O75" s="136"/>
      <c r="Q75" s="128" t="str">
        <f>+A75</f>
        <v>4000 Hz</v>
      </c>
      <c r="R75" s="128" t="str">
        <f>+B75</f>
        <v>octave</v>
      </c>
    </row>
    <row r="76" spans="1:23" ht="12.75">
      <c r="A76" s="142"/>
      <c r="B76" s="140" t="s">
        <v>2</v>
      </c>
      <c r="C76" s="140" t="s">
        <v>3</v>
      </c>
      <c r="D76" s="139" t="s">
        <v>4</v>
      </c>
      <c r="E76" s="139" t="s">
        <v>5</v>
      </c>
      <c r="F76" s="140" t="s">
        <v>6</v>
      </c>
      <c r="G76" s="139" t="s">
        <v>7</v>
      </c>
      <c r="H76" s="141"/>
      <c r="I76" s="142"/>
      <c r="J76" s="140" t="s">
        <v>2</v>
      </c>
      <c r="K76" s="140" t="s">
        <v>3</v>
      </c>
      <c r="L76" s="139" t="s">
        <v>4</v>
      </c>
      <c r="M76" s="139" t="s">
        <v>5</v>
      </c>
      <c r="N76" s="140" t="s">
        <v>6</v>
      </c>
      <c r="O76" s="139" t="s">
        <v>7</v>
      </c>
      <c r="Q76" s="128">
        <f>+A76</f>
        <v>0</v>
      </c>
      <c r="R76" s="128" t="str">
        <f>+B76</f>
        <v>S1R1</v>
      </c>
      <c r="S76" s="128" t="str">
        <f>+C76</f>
        <v>S1R2</v>
      </c>
      <c r="T76" s="128" t="str">
        <f>+D76</f>
        <v>S1R3</v>
      </c>
      <c r="U76" s="128" t="str">
        <f>+E76</f>
        <v>S2R1</v>
      </c>
      <c r="V76" s="128" t="str">
        <f>+F76</f>
        <v>S2R2</v>
      </c>
      <c r="W76" s="128" t="str">
        <f>+G76</f>
        <v>S2R3</v>
      </c>
    </row>
    <row r="77" spans="1:23" ht="12.75">
      <c r="A77" s="130" t="s">
        <v>8</v>
      </c>
      <c r="B77" s="157">
        <v>1.02</v>
      </c>
      <c r="C77" s="157">
        <v>0.99</v>
      </c>
      <c r="D77" s="157">
        <v>0.98</v>
      </c>
      <c r="E77" s="157">
        <v>0.99</v>
      </c>
      <c r="F77" s="157">
        <v>0.98</v>
      </c>
      <c r="G77" s="157">
        <v>1.03</v>
      </c>
      <c r="H77" s="125"/>
      <c r="I77" s="130" t="s">
        <v>8</v>
      </c>
      <c r="J77" s="157">
        <v>0.64</v>
      </c>
      <c r="K77" s="157">
        <v>0.64</v>
      </c>
      <c r="L77" s="157">
        <v>0.63</v>
      </c>
      <c r="M77" s="157">
        <v>0.63</v>
      </c>
      <c r="N77" s="157">
        <v>0.63</v>
      </c>
      <c r="O77" s="157">
        <v>0.63</v>
      </c>
      <c r="Q77" s="128" t="str">
        <f aca="true" t="shared" si="10" ref="Q77:Q85">+A77</f>
        <v>T30/s</v>
      </c>
      <c r="R77" s="127">
        <f aca="true" t="shared" si="11" ref="R77:W85">+B77-J77</f>
        <v>0.38</v>
      </c>
      <c r="S77" s="127">
        <f t="shared" si="11"/>
        <v>0.35</v>
      </c>
      <c r="T77" s="127">
        <f t="shared" si="11"/>
        <v>0.35</v>
      </c>
      <c r="U77" s="127">
        <f t="shared" si="11"/>
        <v>0.36</v>
      </c>
      <c r="V77" s="127">
        <f t="shared" si="11"/>
        <v>0.35</v>
      </c>
      <c r="W77" s="127">
        <f t="shared" si="11"/>
        <v>0.4</v>
      </c>
    </row>
    <row r="78" spans="1:23" ht="12.75">
      <c r="A78" s="130" t="s">
        <v>9</v>
      </c>
      <c r="B78" s="157">
        <v>0.97</v>
      </c>
      <c r="C78" s="157">
        <v>0.97</v>
      </c>
      <c r="D78" s="157">
        <v>1.01</v>
      </c>
      <c r="E78" s="157">
        <v>0.93</v>
      </c>
      <c r="F78" s="157">
        <v>0.96</v>
      </c>
      <c r="G78" s="157">
        <v>0.95</v>
      </c>
      <c r="H78" s="125"/>
      <c r="I78" s="130" t="s">
        <v>9</v>
      </c>
      <c r="J78" s="157">
        <v>0.62</v>
      </c>
      <c r="K78" s="157">
        <v>0.6</v>
      </c>
      <c r="L78" s="157">
        <v>0.63</v>
      </c>
      <c r="M78" s="157">
        <v>0.6</v>
      </c>
      <c r="N78" s="157">
        <v>0.65</v>
      </c>
      <c r="O78" s="157">
        <v>0.59</v>
      </c>
      <c r="Q78" s="128" t="str">
        <f t="shared" si="10"/>
        <v>EDT/s</v>
      </c>
      <c r="R78" s="127">
        <f t="shared" si="11"/>
        <v>0.35</v>
      </c>
      <c r="S78" s="127">
        <f t="shared" si="11"/>
        <v>0.37</v>
      </c>
      <c r="T78" s="127">
        <f t="shared" si="11"/>
        <v>0.38</v>
      </c>
      <c r="U78" s="127">
        <f t="shared" si="11"/>
        <v>0.33000000000000007</v>
      </c>
      <c r="V78" s="127">
        <f t="shared" si="11"/>
        <v>0.30999999999999994</v>
      </c>
      <c r="W78" s="127">
        <f t="shared" si="11"/>
        <v>0.36</v>
      </c>
    </row>
    <row r="79" spans="1:23" ht="12.75">
      <c r="A79" s="130" t="s">
        <v>10</v>
      </c>
      <c r="B79" s="157">
        <v>53.23</v>
      </c>
      <c r="C79" s="157">
        <v>58.84</v>
      </c>
      <c r="D79" s="157">
        <v>51.77</v>
      </c>
      <c r="E79" s="157">
        <v>59.63</v>
      </c>
      <c r="F79" s="157">
        <v>53.51</v>
      </c>
      <c r="G79" s="157">
        <v>60.17</v>
      </c>
      <c r="H79" s="125"/>
      <c r="I79" s="130" t="s">
        <v>10</v>
      </c>
      <c r="J79" s="157">
        <v>70.76</v>
      </c>
      <c r="K79" s="157">
        <v>74.73</v>
      </c>
      <c r="L79" s="157">
        <v>68.2</v>
      </c>
      <c r="M79" s="157">
        <v>74.78</v>
      </c>
      <c r="N79" s="157">
        <v>68.44</v>
      </c>
      <c r="O79" s="157">
        <v>74.39</v>
      </c>
      <c r="Q79" s="128" t="str">
        <f t="shared" si="10"/>
        <v>D/%</v>
      </c>
      <c r="R79" s="127">
        <f t="shared" si="11"/>
        <v>-17.53000000000001</v>
      </c>
      <c r="S79" s="127">
        <f t="shared" si="11"/>
        <v>-15.89</v>
      </c>
      <c r="T79" s="127">
        <f t="shared" si="11"/>
        <v>-16.43</v>
      </c>
      <c r="U79" s="127">
        <f t="shared" si="11"/>
        <v>-15.149999999999999</v>
      </c>
      <c r="V79" s="127">
        <f t="shared" si="11"/>
        <v>-14.93</v>
      </c>
      <c r="W79" s="127">
        <f t="shared" si="11"/>
        <v>-14.219999999999999</v>
      </c>
    </row>
    <row r="80" spans="1:23" ht="12.75">
      <c r="A80" s="130" t="s">
        <v>11</v>
      </c>
      <c r="B80" s="157">
        <v>3.56</v>
      </c>
      <c r="C80" s="157">
        <v>4.39</v>
      </c>
      <c r="D80" s="157">
        <v>3.2</v>
      </c>
      <c r="E80" s="157">
        <v>4.55</v>
      </c>
      <c r="F80" s="157">
        <v>3.58</v>
      </c>
      <c r="G80" s="157">
        <v>4.55</v>
      </c>
      <c r="H80" s="125"/>
      <c r="I80" s="130" t="s">
        <v>11</v>
      </c>
      <c r="J80" s="157">
        <v>7.54</v>
      </c>
      <c r="K80" s="157">
        <v>8.28</v>
      </c>
      <c r="L80" s="157">
        <v>7.08</v>
      </c>
      <c r="M80" s="157">
        <v>8.21</v>
      </c>
      <c r="N80" s="157">
        <v>7.03</v>
      </c>
      <c r="O80" s="157">
        <v>8.34</v>
      </c>
      <c r="Q80" s="128" t="str">
        <f t="shared" si="10"/>
        <v>C/dB</v>
      </c>
      <c r="R80" s="127">
        <f t="shared" si="11"/>
        <v>-3.98</v>
      </c>
      <c r="S80" s="127">
        <f t="shared" si="11"/>
        <v>-3.8899999999999997</v>
      </c>
      <c r="T80" s="127">
        <f t="shared" si="11"/>
        <v>-3.88</v>
      </c>
      <c r="U80" s="127">
        <f t="shared" si="11"/>
        <v>-3.660000000000001</v>
      </c>
      <c r="V80" s="127">
        <f t="shared" si="11"/>
        <v>-3.45</v>
      </c>
      <c r="W80" s="127">
        <f t="shared" si="11"/>
        <v>-3.79</v>
      </c>
    </row>
    <row r="81" spans="1:23" ht="12.75">
      <c r="A81" s="130" t="s">
        <v>12</v>
      </c>
      <c r="B81" s="157">
        <v>66.67</v>
      </c>
      <c r="C81" s="157">
        <v>59.74</v>
      </c>
      <c r="D81" s="157">
        <v>70.73</v>
      </c>
      <c r="E81" s="157">
        <v>57.9</v>
      </c>
      <c r="F81" s="157">
        <v>66.95</v>
      </c>
      <c r="G81" s="157">
        <v>58.32</v>
      </c>
      <c r="H81" s="125"/>
      <c r="I81" s="130" t="s">
        <v>12</v>
      </c>
      <c r="J81" s="157">
        <v>40.56</v>
      </c>
      <c r="K81" s="157">
        <v>35.37</v>
      </c>
      <c r="L81" s="157">
        <v>43.44</v>
      </c>
      <c r="M81" s="157">
        <v>35.19</v>
      </c>
      <c r="N81" s="157">
        <v>42.87</v>
      </c>
      <c r="O81" s="157">
        <v>35.79</v>
      </c>
      <c r="Q81" s="128" t="str">
        <f t="shared" si="10"/>
        <v>TS/ms</v>
      </c>
      <c r="R81" s="127">
        <f t="shared" si="11"/>
        <v>26.11</v>
      </c>
      <c r="S81" s="127">
        <f t="shared" si="11"/>
        <v>24.370000000000005</v>
      </c>
      <c r="T81" s="127">
        <f t="shared" si="11"/>
        <v>27.290000000000006</v>
      </c>
      <c r="U81" s="127">
        <f t="shared" si="11"/>
        <v>22.71</v>
      </c>
      <c r="V81" s="127">
        <f t="shared" si="11"/>
        <v>24.080000000000005</v>
      </c>
      <c r="W81" s="127">
        <f t="shared" si="11"/>
        <v>22.53</v>
      </c>
    </row>
    <row r="82" spans="1:23" ht="12.75">
      <c r="A82" s="130" t="s">
        <v>13</v>
      </c>
      <c r="B82" s="157">
        <v>18.93</v>
      </c>
      <c r="C82" s="157">
        <v>19.89</v>
      </c>
      <c r="D82" s="157">
        <v>18.72</v>
      </c>
      <c r="E82" s="157">
        <v>19.65</v>
      </c>
      <c r="F82" s="157">
        <v>19.08</v>
      </c>
      <c r="G82" s="157">
        <v>19.81</v>
      </c>
      <c r="H82" s="125"/>
      <c r="I82" s="130" t="s">
        <v>13</v>
      </c>
      <c r="J82" s="157">
        <v>16.89</v>
      </c>
      <c r="K82" s="157">
        <v>18.52</v>
      </c>
      <c r="L82" s="157">
        <v>17.06</v>
      </c>
      <c r="M82" s="157">
        <v>18.14</v>
      </c>
      <c r="N82" s="157">
        <v>17.47</v>
      </c>
      <c r="O82" s="157">
        <v>18.6</v>
      </c>
      <c r="Q82" s="128" t="str">
        <f t="shared" si="10"/>
        <v>G/dB</v>
      </c>
      <c r="R82" s="127">
        <f t="shared" si="11"/>
        <v>2.039999999999999</v>
      </c>
      <c r="S82" s="127">
        <f t="shared" si="11"/>
        <v>1.370000000000001</v>
      </c>
      <c r="T82" s="127">
        <f t="shared" si="11"/>
        <v>1.6600000000000001</v>
      </c>
      <c r="U82" s="127">
        <f t="shared" si="11"/>
        <v>1.509999999999998</v>
      </c>
      <c r="V82" s="127">
        <f t="shared" si="11"/>
        <v>1.6099999999999994</v>
      </c>
      <c r="W82" s="127">
        <f t="shared" si="11"/>
        <v>1.2099999999999973</v>
      </c>
    </row>
    <row r="83" spans="1:23" ht="12.75">
      <c r="A83" s="130" t="s">
        <v>14</v>
      </c>
      <c r="B83" s="157">
        <v>27.36</v>
      </c>
      <c r="C83" s="157">
        <v>22.04</v>
      </c>
      <c r="D83" s="157">
        <v>26.37</v>
      </c>
      <c r="E83" s="157">
        <v>26.14</v>
      </c>
      <c r="F83" s="157">
        <v>29.83</v>
      </c>
      <c r="G83" s="157">
        <v>22.02</v>
      </c>
      <c r="H83" s="125"/>
      <c r="I83" s="130" t="s">
        <v>14</v>
      </c>
      <c r="J83" s="157">
        <v>22.51</v>
      </c>
      <c r="K83" s="157">
        <v>20.68</v>
      </c>
      <c r="L83" s="157">
        <v>24.48</v>
      </c>
      <c r="M83" s="157">
        <v>21.86</v>
      </c>
      <c r="N83" s="157">
        <v>29.6</v>
      </c>
      <c r="O83" s="157">
        <v>19.4</v>
      </c>
      <c r="Q83" s="128" t="str">
        <f t="shared" si="10"/>
        <v>LF/%</v>
      </c>
      <c r="R83" s="127">
        <f t="shared" si="11"/>
        <v>4.849999999999998</v>
      </c>
      <c r="S83" s="127">
        <f t="shared" si="11"/>
        <v>1.3599999999999994</v>
      </c>
      <c r="T83" s="127">
        <f t="shared" si="11"/>
        <v>1.8900000000000006</v>
      </c>
      <c r="U83" s="127">
        <f t="shared" si="11"/>
        <v>4.280000000000001</v>
      </c>
      <c r="V83" s="127">
        <f t="shared" si="11"/>
        <v>0.22999999999999687</v>
      </c>
      <c r="W83" s="127">
        <f t="shared" si="11"/>
        <v>2.620000000000001</v>
      </c>
    </row>
    <row r="84" spans="1:23" ht="12.75">
      <c r="A84" s="130" t="s">
        <v>15</v>
      </c>
      <c r="B84" s="157">
        <v>39.18</v>
      </c>
      <c r="C84" s="157">
        <v>32.84</v>
      </c>
      <c r="D84" s="157">
        <v>39.88</v>
      </c>
      <c r="E84" s="157">
        <v>36.86</v>
      </c>
      <c r="F84" s="157">
        <v>42.25</v>
      </c>
      <c r="G84" s="157">
        <v>32.64</v>
      </c>
      <c r="H84" s="125"/>
      <c r="I84" s="130" t="s">
        <v>15</v>
      </c>
      <c r="J84" s="157">
        <v>33.08</v>
      </c>
      <c r="K84" s="157">
        <v>30.7</v>
      </c>
      <c r="L84" s="157">
        <v>37.85</v>
      </c>
      <c r="M84" s="157">
        <v>31.56</v>
      </c>
      <c r="N84" s="157">
        <v>41.81</v>
      </c>
      <c r="O84" s="157">
        <v>29.23</v>
      </c>
      <c r="Q84" s="128" t="str">
        <f t="shared" si="10"/>
        <v>LFC/%</v>
      </c>
      <c r="R84" s="127">
        <f t="shared" si="11"/>
        <v>6.100000000000001</v>
      </c>
      <c r="S84" s="127">
        <f t="shared" si="11"/>
        <v>2.140000000000004</v>
      </c>
      <c r="T84" s="127">
        <f t="shared" si="11"/>
        <v>2.030000000000001</v>
      </c>
      <c r="U84" s="127">
        <f t="shared" si="11"/>
        <v>5.300000000000001</v>
      </c>
      <c r="V84" s="127">
        <f t="shared" si="11"/>
        <v>0.4399999999999977</v>
      </c>
      <c r="W84" s="127">
        <f t="shared" si="11"/>
        <v>3.41</v>
      </c>
    </row>
    <row r="85" spans="1:23" ht="12.75">
      <c r="A85" s="134" t="s">
        <v>16</v>
      </c>
      <c r="B85" s="135"/>
      <c r="C85" s="132"/>
      <c r="D85" s="132"/>
      <c r="E85" s="132"/>
      <c r="F85" s="132"/>
      <c r="G85" s="133"/>
      <c r="H85" s="125"/>
      <c r="I85" s="134" t="s">
        <v>16</v>
      </c>
      <c r="J85" s="135"/>
      <c r="K85" s="132"/>
      <c r="L85" s="132"/>
      <c r="M85" s="132"/>
      <c r="N85" s="132"/>
      <c r="O85" s="133"/>
      <c r="Q85" s="128" t="str">
        <f t="shared" si="10"/>
        <v>IACC</v>
      </c>
      <c r="R85" s="127">
        <f t="shared" si="11"/>
        <v>0</v>
      </c>
      <c r="S85" s="127">
        <f t="shared" si="11"/>
        <v>0</v>
      </c>
      <c r="T85" s="127">
        <f t="shared" si="11"/>
        <v>0</v>
      </c>
      <c r="U85" s="127">
        <f t="shared" si="11"/>
        <v>0</v>
      </c>
      <c r="V85" s="127">
        <f t="shared" si="11"/>
        <v>0</v>
      </c>
      <c r="W85" s="127">
        <f t="shared" si="11"/>
        <v>0</v>
      </c>
    </row>
    <row r="86" spans="5:15" ht="12.75">
      <c r="E86" s="136"/>
      <c r="F86" s="136"/>
      <c r="G86" s="136"/>
      <c r="H86" s="136"/>
      <c r="M86" s="136"/>
      <c r="N86" s="136"/>
      <c r="O86" s="136"/>
    </row>
    <row r="87" spans="5:15" ht="12.75">
      <c r="E87" s="136"/>
      <c r="F87" s="136"/>
      <c r="G87" s="136"/>
      <c r="H87" s="136"/>
      <c r="M87" s="136"/>
      <c r="N87" s="136"/>
      <c r="O87" s="136"/>
    </row>
    <row r="88" spans="1:15" ht="12.75">
      <c r="A88" s="146"/>
      <c r="E88" s="136"/>
      <c r="F88" s="136"/>
      <c r="G88" s="136"/>
      <c r="H88" s="136"/>
      <c r="I88" s="146"/>
      <c r="M88" s="136"/>
      <c r="N88" s="136"/>
      <c r="O88" s="136"/>
    </row>
    <row r="89" spans="5:15" ht="12.75">
      <c r="E89" s="136"/>
      <c r="F89" s="136"/>
      <c r="G89" s="136"/>
      <c r="H89" s="136"/>
      <c r="M89" s="136"/>
      <c r="N89" s="136"/>
      <c r="O89" s="136"/>
    </row>
    <row r="90" spans="5:15" ht="12.75">
      <c r="E90" s="136"/>
      <c r="F90" s="136"/>
      <c r="G90" s="136"/>
      <c r="H90" s="136"/>
      <c r="M90" s="136"/>
      <c r="N90" s="136"/>
      <c r="O90" s="136"/>
    </row>
    <row r="91" spans="5:15" ht="12.75">
      <c r="E91" s="136"/>
      <c r="F91" s="136"/>
      <c r="G91" s="136"/>
      <c r="H91" s="136"/>
      <c r="M91" s="136"/>
      <c r="N91" s="136"/>
      <c r="O91" s="136"/>
    </row>
    <row r="92" spans="5:15" ht="12.75">
      <c r="E92" s="136"/>
      <c r="F92" s="136"/>
      <c r="G92" s="136"/>
      <c r="H92" s="136"/>
      <c r="M92" s="136"/>
      <c r="N92" s="136"/>
      <c r="O92" s="136"/>
    </row>
    <row r="93" spans="5:15" ht="12.75">
      <c r="E93" s="136"/>
      <c r="F93" s="136"/>
      <c r="G93" s="136"/>
      <c r="H93" s="136"/>
      <c r="M93" s="136"/>
      <c r="N93" s="136"/>
      <c r="O93" s="136"/>
    </row>
  </sheetData>
  <printOptions/>
  <pageMargins left="0.75" right="0.75" top="1" bottom="1" header="0.4921259845" footer="0.4921259845"/>
  <pageSetup fitToHeight="1" fitToWidth="1" horizontalDpi="300" verticalDpi="300" orientation="portrait" paperSize="9" scale="44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W93"/>
  <sheetViews>
    <sheetView zoomScale="75" zoomScaleNormal="75" workbookViewId="0" topLeftCell="A1">
      <selection activeCell="F37" sqref="F37"/>
    </sheetView>
  </sheetViews>
  <sheetFormatPr defaultColWidth="11.5546875" defaultRowHeight="15"/>
  <cols>
    <col min="1" max="1" width="7.77734375" style="128" customWidth="1"/>
    <col min="2" max="16" width="6.77734375" style="128" customWidth="1"/>
    <col min="17" max="17" width="11.5546875" style="128" customWidth="1" collapsed="1"/>
    <col min="18" max="23" width="11.5546875" style="128" customWidth="1"/>
    <col min="24" max="16384" width="8.88671875" style="128" customWidth="1"/>
  </cols>
  <sheetData>
    <row r="1" spans="1:10" ht="13.5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2" ht="13.5" thickBot="1">
      <c r="A2" s="3"/>
      <c r="B2" s="4"/>
    </row>
    <row r="5" spans="1:7" ht="12.75">
      <c r="A5" s="150"/>
      <c r="B5" s="151"/>
      <c r="C5" s="151"/>
      <c r="D5" s="152"/>
      <c r="G5" s="150"/>
    </row>
    <row r="6" spans="1:3" ht="12" customHeight="1">
      <c r="A6" s="153"/>
      <c r="B6" s="151"/>
      <c r="C6" s="151"/>
    </row>
    <row r="7" spans="2:3" ht="12.75">
      <c r="B7" s="151"/>
      <c r="C7" s="151"/>
    </row>
    <row r="8" spans="1:3" ht="12.75">
      <c r="A8" s="150"/>
      <c r="B8" s="151"/>
      <c r="C8" s="151"/>
    </row>
    <row r="12" spans="1:2" ht="12.75">
      <c r="A12" s="82"/>
      <c r="B12" s="82"/>
    </row>
    <row r="13" spans="1:2" ht="12.75">
      <c r="A13" s="336"/>
      <c r="B13" s="336"/>
    </row>
    <row r="14" ht="12.75">
      <c r="Q14" s="128" t="s">
        <v>32</v>
      </c>
    </row>
    <row r="15" spans="1:18" ht="12.75">
      <c r="A15" s="155"/>
      <c r="B15" s="156"/>
      <c r="E15" s="136"/>
      <c r="F15" s="136"/>
      <c r="G15" s="136"/>
      <c r="H15" s="136"/>
      <c r="I15" s="155"/>
      <c r="J15" s="156"/>
      <c r="M15" s="136"/>
      <c r="N15" s="136"/>
      <c r="O15" s="136"/>
      <c r="Q15" s="128">
        <f>+A15</f>
        <v>0</v>
      </c>
      <c r="R15" s="128">
        <f>+B15</f>
        <v>0</v>
      </c>
    </row>
    <row r="16" spans="1:23" ht="12.75">
      <c r="A16" s="142"/>
      <c r="B16" s="140"/>
      <c r="C16" s="140"/>
      <c r="D16" s="139"/>
      <c r="E16" s="139"/>
      <c r="F16" s="140"/>
      <c r="G16" s="139"/>
      <c r="H16" s="141"/>
      <c r="I16" s="142"/>
      <c r="J16" s="140"/>
      <c r="K16" s="140"/>
      <c r="L16" s="139"/>
      <c r="M16" s="139"/>
      <c r="N16" s="140"/>
      <c r="O16" s="139"/>
      <c r="P16" s="157"/>
      <c r="Q16" s="128">
        <f>+A16</f>
        <v>0</v>
      </c>
      <c r="R16" s="128">
        <f>+B16</f>
        <v>0</v>
      </c>
      <c r="S16" s="128">
        <f>+C16</f>
        <v>0</v>
      </c>
      <c r="T16" s="128">
        <f>+D16</f>
        <v>0</v>
      </c>
      <c r="U16" s="128">
        <f>+E16</f>
        <v>0</v>
      </c>
      <c r="V16" s="128">
        <f>+F16</f>
        <v>0</v>
      </c>
      <c r="W16" s="128">
        <f>+G16</f>
        <v>0</v>
      </c>
    </row>
    <row r="17" spans="1:23" ht="12.75">
      <c r="A17" s="130"/>
      <c r="B17" s="157"/>
      <c r="C17" s="157"/>
      <c r="D17" s="157"/>
      <c r="E17" s="143"/>
      <c r="F17" s="143"/>
      <c r="G17" s="144"/>
      <c r="H17" s="125"/>
      <c r="I17" s="130"/>
      <c r="J17" s="157"/>
      <c r="K17" s="157"/>
      <c r="L17" s="157"/>
      <c r="M17" s="157"/>
      <c r="N17" s="157"/>
      <c r="O17" s="144"/>
      <c r="P17" s="158"/>
      <c r="Q17" s="128">
        <f aca="true" t="shared" si="0" ref="Q17:Q25">+A17</f>
        <v>0</v>
      </c>
      <c r="R17" s="127">
        <f aca="true" t="shared" si="1" ref="R17:W25">+B17-J17</f>
        <v>0</v>
      </c>
      <c r="S17" s="127">
        <f t="shared" si="1"/>
        <v>0</v>
      </c>
      <c r="T17" s="127">
        <f t="shared" si="1"/>
        <v>0</v>
      </c>
      <c r="U17" s="127">
        <f t="shared" si="1"/>
        <v>0</v>
      </c>
      <c r="V17" s="127">
        <f t="shared" si="1"/>
        <v>0</v>
      </c>
      <c r="W17" s="127">
        <f t="shared" si="1"/>
        <v>0</v>
      </c>
    </row>
    <row r="18" spans="1:23" ht="12.75">
      <c r="A18" s="130"/>
      <c r="B18" s="157"/>
      <c r="C18" s="157"/>
      <c r="D18" s="157"/>
      <c r="E18" s="125"/>
      <c r="F18" s="125"/>
      <c r="G18" s="129"/>
      <c r="H18" s="125"/>
      <c r="I18" s="130"/>
      <c r="J18" s="157"/>
      <c r="K18" s="157"/>
      <c r="L18" s="157"/>
      <c r="M18" s="157"/>
      <c r="N18" s="157"/>
      <c r="O18" s="129"/>
      <c r="P18" s="158"/>
      <c r="Q18" s="128">
        <f t="shared" si="0"/>
        <v>0</v>
      </c>
      <c r="R18" s="127">
        <f t="shared" si="1"/>
        <v>0</v>
      </c>
      <c r="S18" s="127">
        <f t="shared" si="1"/>
        <v>0</v>
      </c>
      <c r="T18" s="127">
        <f t="shared" si="1"/>
        <v>0</v>
      </c>
      <c r="U18" s="127">
        <f t="shared" si="1"/>
        <v>0</v>
      </c>
      <c r="V18" s="127">
        <f t="shared" si="1"/>
        <v>0</v>
      </c>
      <c r="W18" s="127">
        <f t="shared" si="1"/>
        <v>0</v>
      </c>
    </row>
    <row r="19" spans="1:23" ht="12.75">
      <c r="A19" s="130"/>
      <c r="B19" s="157"/>
      <c r="C19" s="157"/>
      <c r="D19" s="157"/>
      <c r="E19" s="125"/>
      <c r="F19" s="125"/>
      <c r="G19" s="129"/>
      <c r="H19" s="125"/>
      <c r="I19" s="130"/>
      <c r="J19" s="157"/>
      <c r="K19" s="157"/>
      <c r="L19" s="157"/>
      <c r="M19" s="157"/>
      <c r="N19" s="157"/>
      <c r="O19" s="129"/>
      <c r="P19" s="158"/>
      <c r="Q19" s="128">
        <f t="shared" si="0"/>
        <v>0</v>
      </c>
      <c r="R19" s="127">
        <f t="shared" si="1"/>
        <v>0</v>
      </c>
      <c r="S19" s="127">
        <f t="shared" si="1"/>
        <v>0</v>
      </c>
      <c r="T19" s="127">
        <f t="shared" si="1"/>
        <v>0</v>
      </c>
      <c r="U19" s="127">
        <f t="shared" si="1"/>
        <v>0</v>
      </c>
      <c r="V19" s="127">
        <f t="shared" si="1"/>
        <v>0</v>
      </c>
      <c r="W19" s="127">
        <f t="shared" si="1"/>
        <v>0</v>
      </c>
    </row>
    <row r="20" spans="1:23" ht="12.75">
      <c r="A20" s="130"/>
      <c r="B20" s="157"/>
      <c r="C20" s="157"/>
      <c r="D20" s="157"/>
      <c r="E20" s="125"/>
      <c r="F20" s="125"/>
      <c r="G20" s="129"/>
      <c r="H20" s="125"/>
      <c r="I20" s="130"/>
      <c r="J20" s="157"/>
      <c r="K20" s="157"/>
      <c r="L20" s="157"/>
      <c r="M20" s="157"/>
      <c r="N20" s="157"/>
      <c r="O20" s="129"/>
      <c r="P20" s="158"/>
      <c r="Q20" s="128">
        <f t="shared" si="0"/>
        <v>0</v>
      </c>
      <c r="R20" s="127">
        <f t="shared" si="1"/>
        <v>0</v>
      </c>
      <c r="S20" s="127">
        <f t="shared" si="1"/>
        <v>0</v>
      </c>
      <c r="T20" s="127">
        <f t="shared" si="1"/>
        <v>0</v>
      </c>
      <c r="U20" s="127">
        <f t="shared" si="1"/>
        <v>0</v>
      </c>
      <c r="V20" s="127">
        <f t="shared" si="1"/>
        <v>0</v>
      </c>
      <c r="W20" s="127">
        <f t="shared" si="1"/>
        <v>0</v>
      </c>
    </row>
    <row r="21" spans="1:23" ht="12.75">
      <c r="A21" s="130"/>
      <c r="B21" s="157"/>
      <c r="C21" s="157"/>
      <c r="D21" s="157"/>
      <c r="E21" s="125"/>
      <c r="F21" s="125"/>
      <c r="G21" s="129"/>
      <c r="H21" s="125"/>
      <c r="I21" s="130"/>
      <c r="J21" s="157"/>
      <c r="K21" s="157"/>
      <c r="L21" s="157"/>
      <c r="M21" s="157"/>
      <c r="N21" s="157"/>
      <c r="O21" s="129"/>
      <c r="P21" s="158"/>
      <c r="Q21" s="128">
        <f t="shared" si="0"/>
        <v>0</v>
      </c>
      <c r="R21" s="127">
        <f t="shared" si="1"/>
        <v>0</v>
      </c>
      <c r="S21" s="127">
        <f t="shared" si="1"/>
        <v>0</v>
      </c>
      <c r="T21" s="127">
        <f t="shared" si="1"/>
        <v>0</v>
      </c>
      <c r="U21" s="127">
        <f t="shared" si="1"/>
        <v>0</v>
      </c>
      <c r="V21" s="127">
        <f t="shared" si="1"/>
        <v>0</v>
      </c>
      <c r="W21" s="127">
        <f t="shared" si="1"/>
        <v>0</v>
      </c>
    </row>
    <row r="22" spans="1:23" ht="12.75">
      <c r="A22" s="130"/>
      <c r="B22" s="157"/>
      <c r="C22" s="157"/>
      <c r="D22" s="157"/>
      <c r="E22" s="125"/>
      <c r="F22" s="125"/>
      <c r="G22" s="129"/>
      <c r="H22" s="125"/>
      <c r="I22" s="130"/>
      <c r="J22" s="157"/>
      <c r="K22" s="157"/>
      <c r="L22" s="157"/>
      <c r="M22" s="157"/>
      <c r="N22" s="157"/>
      <c r="O22" s="129"/>
      <c r="P22" s="158"/>
      <c r="Q22" s="128">
        <f t="shared" si="0"/>
        <v>0</v>
      </c>
      <c r="R22" s="127">
        <f t="shared" si="1"/>
        <v>0</v>
      </c>
      <c r="S22" s="127">
        <f t="shared" si="1"/>
        <v>0</v>
      </c>
      <c r="T22" s="127">
        <f t="shared" si="1"/>
        <v>0</v>
      </c>
      <c r="U22" s="127">
        <f t="shared" si="1"/>
        <v>0</v>
      </c>
      <c r="V22" s="127">
        <f t="shared" si="1"/>
        <v>0</v>
      </c>
      <c r="W22" s="127">
        <f t="shared" si="1"/>
        <v>0</v>
      </c>
    </row>
    <row r="23" spans="1:23" ht="12.75">
      <c r="A23" s="130"/>
      <c r="B23" s="157"/>
      <c r="C23" s="157"/>
      <c r="D23" s="157"/>
      <c r="E23" s="125"/>
      <c r="F23" s="125"/>
      <c r="G23" s="129"/>
      <c r="H23" s="125"/>
      <c r="I23" s="130"/>
      <c r="J23" s="157"/>
      <c r="K23" s="157"/>
      <c r="L23" s="157"/>
      <c r="M23" s="157"/>
      <c r="N23" s="157"/>
      <c r="O23" s="129"/>
      <c r="Q23" s="128">
        <f t="shared" si="0"/>
        <v>0</v>
      </c>
      <c r="R23" s="127">
        <f t="shared" si="1"/>
        <v>0</v>
      </c>
      <c r="S23" s="127">
        <f t="shared" si="1"/>
        <v>0</v>
      </c>
      <c r="T23" s="127">
        <f t="shared" si="1"/>
        <v>0</v>
      </c>
      <c r="U23" s="127">
        <f t="shared" si="1"/>
        <v>0</v>
      </c>
      <c r="V23" s="127">
        <f t="shared" si="1"/>
        <v>0</v>
      </c>
      <c r="W23" s="127">
        <f t="shared" si="1"/>
        <v>0</v>
      </c>
    </row>
    <row r="24" spans="1:23" ht="12.75">
      <c r="A24" s="130"/>
      <c r="B24" s="157"/>
      <c r="C24" s="157"/>
      <c r="D24" s="157"/>
      <c r="E24" s="125"/>
      <c r="F24" s="125"/>
      <c r="G24" s="129"/>
      <c r="H24" s="125"/>
      <c r="I24" s="130"/>
      <c r="J24" s="157"/>
      <c r="K24" s="157"/>
      <c r="L24" s="157"/>
      <c r="M24" s="157"/>
      <c r="N24" s="157"/>
      <c r="O24" s="129"/>
      <c r="Q24" s="128">
        <f t="shared" si="0"/>
        <v>0</v>
      </c>
      <c r="R24" s="127">
        <f t="shared" si="1"/>
        <v>0</v>
      </c>
      <c r="S24" s="127">
        <f t="shared" si="1"/>
        <v>0</v>
      </c>
      <c r="T24" s="127">
        <f t="shared" si="1"/>
        <v>0</v>
      </c>
      <c r="U24" s="127">
        <f t="shared" si="1"/>
        <v>0</v>
      </c>
      <c r="V24" s="127">
        <f t="shared" si="1"/>
        <v>0</v>
      </c>
      <c r="W24" s="127">
        <f t="shared" si="1"/>
        <v>0</v>
      </c>
    </row>
    <row r="25" spans="1:23" ht="12.75">
      <c r="A25" s="134"/>
      <c r="B25" s="337"/>
      <c r="C25" s="132"/>
      <c r="D25" s="132"/>
      <c r="E25" s="338"/>
      <c r="F25" s="132"/>
      <c r="G25" s="133"/>
      <c r="H25" s="125"/>
      <c r="I25" s="134"/>
      <c r="J25" s="339"/>
      <c r="K25" s="216"/>
      <c r="L25" s="216"/>
      <c r="M25" s="340"/>
      <c r="N25" s="132"/>
      <c r="O25" s="133"/>
      <c r="Q25" s="128">
        <f t="shared" si="0"/>
        <v>0</v>
      </c>
      <c r="R25" s="127">
        <f t="shared" si="1"/>
        <v>0</v>
      </c>
      <c r="S25" s="127">
        <f t="shared" si="1"/>
        <v>0</v>
      </c>
      <c r="T25" s="127">
        <f t="shared" si="1"/>
        <v>0</v>
      </c>
      <c r="U25" s="127">
        <f t="shared" si="1"/>
        <v>0</v>
      </c>
      <c r="V25" s="127">
        <f t="shared" si="1"/>
        <v>0</v>
      </c>
      <c r="W25" s="127">
        <f t="shared" si="1"/>
        <v>0</v>
      </c>
    </row>
    <row r="26" spans="6:15" ht="12.75">
      <c r="F26" s="136"/>
      <c r="G26" s="136"/>
      <c r="H26" s="136"/>
      <c r="N26" s="136"/>
      <c r="O26" s="136"/>
    </row>
    <row r="27" spans="1:18" ht="12.75">
      <c r="A27" s="155"/>
      <c r="B27" s="156"/>
      <c r="E27" s="136"/>
      <c r="F27" s="136"/>
      <c r="G27" s="136"/>
      <c r="H27" s="136"/>
      <c r="I27" s="155"/>
      <c r="J27" s="156"/>
      <c r="M27" s="136"/>
      <c r="N27" s="136"/>
      <c r="O27" s="136"/>
      <c r="Q27" s="128">
        <f>+A27</f>
        <v>0</v>
      </c>
      <c r="R27" s="128">
        <f>+B27</f>
        <v>0</v>
      </c>
    </row>
    <row r="28" spans="1:23" ht="12.75">
      <c r="A28" s="142"/>
      <c r="B28" s="140"/>
      <c r="C28" s="140"/>
      <c r="D28" s="139"/>
      <c r="E28" s="139"/>
      <c r="F28" s="140"/>
      <c r="G28" s="139"/>
      <c r="H28" s="141"/>
      <c r="I28" s="142"/>
      <c r="J28" s="140"/>
      <c r="K28" s="140"/>
      <c r="L28" s="139"/>
      <c r="M28" s="139"/>
      <c r="N28" s="140"/>
      <c r="O28" s="139"/>
      <c r="Q28" s="128">
        <f>+A28</f>
        <v>0</v>
      </c>
      <c r="R28" s="128">
        <f>+B28</f>
        <v>0</v>
      </c>
      <c r="S28" s="128">
        <f>+C28</f>
        <v>0</v>
      </c>
      <c r="T28" s="128">
        <f>+D28</f>
        <v>0</v>
      </c>
      <c r="U28" s="128">
        <f>+E28</f>
        <v>0</v>
      </c>
      <c r="V28" s="128">
        <f>+F28</f>
        <v>0</v>
      </c>
      <c r="W28" s="128">
        <f>+G28</f>
        <v>0</v>
      </c>
    </row>
    <row r="29" spans="1:23" ht="12.75">
      <c r="A29" s="130"/>
      <c r="B29" s="157"/>
      <c r="C29" s="157"/>
      <c r="D29" s="157"/>
      <c r="E29" s="143"/>
      <c r="F29" s="143"/>
      <c r="G29" s="144"/>
      <c r="H29" s="125"/>
      <c r="I29" s="130"/>
      <c r="J29" s="157"/>
      <c r="K29" s="157"/>
      <c r="L29" s="157"/>
      <c r="M29" s="157"/>
      <c r="N29" s="157"/>
      <c r="O29" s="144"/>
      <c r="Q29" s="128">
        <f aca="true" t="shared" si="2" ref="Q29:Q37">+A29</f>
        <v>0</v>
      </c>
      <c r="R29" s="127">
        <f aca="true" t="shared" si="3" ref="R29:W37">+B29-J29</f>
        <v>0</v>
      </c>
      <c r="S29" s="127">
        <f t="shared" si="3"/>
        <v>0</v>
      </c>
      <c r="T29" s="127">
        <f t="shared" si="3"/>
        <v>0</v>
      </c>
      <c r="U29" s="127">
        <f t="shared" si="3"/>
        <v>0</v>
      </c>
      <c r="V29" s="127">
        <f t="shared" si="3"/>
        <v>0</v>
      </c>
      <c r="W29" s="127">
        <f t="shared" si="3"/>
        <v>0</v>
      </c>
    </row>
    <row r="30" spans="1:23" ht="12.75">
      <c r="A30" s="130"/>
      <c r="B30" s="157"/>
      <c r="C30" s="157"/>
      <c r="D30" s="157"/>
      <c r="E30" s="125"/>
      <c r="F30" s="125"/>
      <c r="G30" s="129"/>
      <c r="H30" s="125"/>
      <c r="I30" s="130"/>
      <c r="J30" s="157"/>
      <c r="K30" s="157"/>
      <c r="L30" s="157"/>
      <c r="M30" s="157"/>
      <c r="N30" s="157"/>
      <c r="O30" s="129"/>
      <c r="Q30" s="128">
        <f t="shared" si="2"/>
        <v>0</v>
      </c>
      <c r="R30" s="127">
        <f t="shared" si="3"/>
        <v>0</v>
      </c>
      <c r="S30" s="127">
        <f t="shared" si="3"/>
        <v>0</v>
      </c>
      <c r="T30" s="127">
        <f t="shared" si="3"/>
        <v>0</v>
      </c>
      <c r="U30" s="127">
        <f t="shared" si="3"/>
        <v>0</v>
      </c>
      <c r="V30" s="127">
        <f t="shared" si="3"/>
        <v>0</v>
      </c>
      <c r="W30" s="127">
        <f t="shared" si="3"/>
        <v>0</v>
      </c>
    </row>
    <row r="31" spans="1:23" ht="12.75">
      <c r="A31" s="130"/>
      <c r="B31" s="157"/>
      <c r="C31" s="157"/>
      <c r="D31" s="157"/>
      <c r="E31" s="125"/>
      <c r="F31" s="125"/>
      <c r="G31" s="129"/>
      <c r="H31" s="125"/>
      <c r="I31" s="130"/>
      <c r="J31" s="157"/>
      <c r="K31" s="157"/>
      <c r="L31" s="157"/>
      <c r="M31" s="157"/>
      <c r="N31" s="157"/>
      <c r="O31" s="129"/>
      <c r="Q31" s="128">
        <f t="shared" si="2"/>
        <v>0</v>
      </c>
      <c r="R31" s="127">
        <f t="shared" si="3"/>
        <v>0</v>
      </c>
      <c r="S31" s="127">
        <f t="shared" si="3"/>
        <v>0</v>
      </c>
      <c r="T31" s="127">
        <f t="shared" si="3"/>
        <v>0</v>
      </c>
      <c r="U31" s="127">
        <f t="shared" si="3"/>
        <v>0</v>
      </c>
      <c r="V31" s="127">
        <f t="shared" si="3"/>
        <v>0</v>
      </c>
      <c r="W31" s="127">
        <f t="shared" si="3"/>
        <v>0</v>
      </c>
    </row>
    <row r="32" spans="1:23" ht="12.75">
      <c r="A32" s="130"/>
      <c r="B32" s="157"/>
      <c r="C32" s="157"/>
      <c r="D32" s="157"/>
      <c r="E32" s="125"/>
      <c r="F32" s="125"/>
      <c r="G32" s="129"/>
      <c r="H32" s="125"/>
      <c r="I32" s="130"/>
      <c r="J32" s="157"/>
      <c r="K32" s="157"/>
      <c r="L32" s="157"/>
      <c r="M32" s="157"/>
      <c r="N32" s="157"/>
      <c r="O32" s="129"/>
      <c r="Q32" s="128">
        <f t="shared" si="2"/>
        <v>0</v>
      </c>
      <c r="R32" s="127">
        <f t="shared" si="3"/>
        <v>0</v>
      </c>
      <c r="S32" s="127">
        <f t="shared" si="3"/>
        <v>0</v>
      </c>
      <c r="T32" s="127">
        <f t="shared" si="3"/>
        <v>0</v>
      </c>
      <c r="U32" s="127">
        <f t="shared" si="3"/>
        <v>0</v>
      </c>
      <c r="V32" s="127">
        <f t="shared" si="3"/>
        <v>0</v>
      </c>
      <c r="W32" s="127">
        <f t="shared" si="3"/>
        <v>0</v>
      </c>
    </row>
    <row r="33" spans="1:23" ht="12.75">
      <c r="A33" s="130"/>
      <c r="B33" s="157"/>
      <c r="C33" s="157"/>
      <c r="D33" s="157"/>
      <c r="E33" s="125"/>
      <c r="F33" s="125"/>
      <c r="G33" s="129"/>
      <c r="H33" s="125"/>
      <c r="I33" s="130"/>
      <c r="J33" s="157"/>
      <c r="K33" s="157"/>
      <c r="L33" s="157"/>
      <c r="M33" s="157"/>
      <c r="N33" s="157"/>
      <c r="O33" s="129"/>
      <c r="Q33" s="128">
        <f t="shared" si="2"/>
        <v>0</v>
      </c>
      <c r="R33" s="127">
        <f t="shared" si="3"/>
        <v>0</v>
      </c>
      <c r="S33" s="127">
        <f t="shared" si="3"/>
        <v>0</v>
      </c>
      <c r="T33" s="127">
        <f t="shared" si="3"/>
        <v>0</v>
      </c>
      <c r="U33" s="127">
        <f t="shared" si="3"/>
        <v>0</v>
      </c>
      <c r="V33" s="127">
        <f t="shared" si="3"/>
        <v>0</v>
      </c>
      <c r="W33" s="127">
        <f t="shared" si="3"/>
        <v>0</v>
      </c>
    </row>
    <row r="34" spans="1:23" ht="12.75">
      <c r="A34" s="130"/>
      <c r="B34" s="157"/>
      <c r="C34" s="157"/>
      <c r="D34" s="157"/>
      <c r="E34" s="125"/>
      <c r="F34" s="125"/>
      <c r="G34" s="129"/>
      <c r="H34" s="125"/>
      <c r="I34" s="130"/>
      <c r="J34" s="157"/>
      <c r="K34" s="157"/>
      <c r="L34" s="157"/>
      <c r="M34" s="157"/>
      <c r="N34" s="157"/>
      <c r="O34" s="129"/>
      <c r="Q34" s="128">
        <f t="shared" si="2"/>
        <v>0</v>
      </c>
      <c r="R34" s="127">
        <f t="shared" si="3"/>
        <v>0</v>
      </c>
      <c r="S34" s="127">
        <f t="shared" si="3"/>
        <v>0</v>
      </c>
      <c r="T34" s="127">
        <f t="shared" si="3"/>
        <v>0</v>
      </c>
      <c r="U34" s="127">
        <f t="shared" si="3"/>
        <v>0</v>
      </c>
      <c r="V34" s="127">
        <f t="shared" si="3"/>
        <v>0</v>
      </c>
      <c r="W34" s="127">
        <f t="shared" si="3"/>
        <v>0</v>
      </c>
    </row>
    <row r="35" spans="1:23" ht="12.75">
      <c r="A35" s="130"/>
      <c r="B35" s="157"/>
      <c r="C35" s="157"/>
      <c r="D35" s="157"/>
      <c r="E35" s="125"/>
      <c r="F35" s="125"/>
      <c r="G35" s="129"/>
      <c r="H35" s="125"/>
      <c r="I35" s="130"/>
      <c r="J35" s="157"/>
      <c r="K35" s="157"/>
      <c r="L35" s="157"/>
      <c r="M35" s="157"/>
      <c r="N35" s="157"/>
      <c r="O35" s="129"/>
      <c r="Q35" s="128">
        <f t="shared" si="2"/>
        <v>0</v>
      </c>
      <c r="R35" s="127">
        <f t="shared" si="3"/>
        <v>0</v>
      </c>
      <c r="S35" s="127">
        <f t="shared" si="3"/>
        <v>0</v>
      </c>
      <c r="T35" s="127">
        <f t="shared" si="3"/>
        <v>0</v>
      </c>
      <c r="U35" s="127">
        <f t="shared" si="3"/>
        <v>0</v>
      </c>
      <c r="V35" s="127">
        <f t="shared" si="3"/>
        <v>0</v>
      </c>
      <c r="W35" s="127">
        <f t="shared" si="3"/>
        <v>0</v>
      </c>
    </row>
    <row r="36" spans="1:23" ht="12.75">
      <c r="A36" s="130"/>
      <c r="B36" s="157"/>
      <c r="C36" s="157"/>
      <c r="D36" s="157"/>
      <c r="E36" s="125"/>
      <c r="F36" s="125"/>
      <c r="G36" s="129"/>
      <c r="H36" s="125"/>
      <c r="I36" s="130"/>
      <c r="J36" s="157"/>
      <c r="K36" s="157"/>
      <c r="L36" s="157"/>
      <c r="M36" s="157"/>
      <c r="N36" s="157"/>
      <c r="O36" s="129"/>
      <c r="Q36" s="128">
        <f t="shared" si="2"/>
        <v>0</v>
      </c>
      <c r="R36" s="127">
        <f t="shared" si="3"/>
        <v>0</v>
      </c>
      <c r="S36" s="127">
        <f t="shared" si="3"/>
        <v>0</v>
      </c>
      <c r="T36" s="127">
        <f t="shared" si="3"/>
        <v>0</v>
      </c>
      <c r="U36" s="127">
        <f t="shared" si="3"/>
        <v>0</v>
      </c>
      <c r="V36" s="127">
        <f t="shared" si="3"/>
        <v>0</v>
      </c>
      <c r="W36" s="127">
        <f t="shared" si="3"/>
        <v>0</v>
      </c>
    </row>
    <row r="37" spans="1:23" ht="12.75">
      <c r="A37" s="134"/>
      <c r="B37" s="135"/>
      <c r="C37" s="132"/>
      <c r="D37" s="132"/>
      <c r="E37" s="132"/>
      <c r="F37" s="132"/>
      <c r="G37" s="133"/>
      <c r="H37" s="125"/>
      <c r="I37" s="134"/>
      <c r="J37" s="339"/>
      <c r="K37" s="216"/>
      <c r="L37" s="216"/>
      <c r="M37" s="340"/>
      <c r="N37" s="132"/>
      <c r="O37" s="133"/>
      <c r="Q37" s="128">
        <f t="shared" si="2"/>
        <v>0</v>
      </c>
      <c r="R37" s="127">
        <f t="shared" si="3"/>
        <v>0</v>
      </c>
      <c r="S37" s="127">
        <f t="shared" si="3"/>
        <v>0</v>
      </c>
      <c r="T37" s="127">
        <f t="shared" si="3"/>
        <v>0</v>
      </c>
      <c r="U37" s="127">
        <f t="shared" si="3"/>
        <v>0</v>
      </c>
      <c r="V37" s="127">
        <f t="shared" si="3"/>
        <v>0</v>
      </c>
      <c r="W37" s="127">
        <f t="shared" si="3"/>
        <v>0</v>
      </c>
    </row>
    <row r="38" spans="6:15" ht="12.75">
      <c r="F38" s="136"/>
      <c r="G38" s="136"/>
      <c r="H38" s="136"/>
      <c r="N38" s="136"/>
      <c r="O38" s="136"/>
    </row>
    <row r="39" spans="1:18" ht="12.75">
      <c r="A39" s="155"/>
      <c r="B39" s="156"/>
      <c r="F39" s="136"/>
      <c r="G39" s="136"/>
      <c r="H39" s="136"/>
      <c r="I39" s="155"/>
      <c r="J39" s="156"/>
      <c r="M39" s="136"/>
      <c r="N39" s="136"/>
      <c r="O39" s="136"/>
      <c r="Q39" s="128">
        <f>+A39</f>
        <v>0</v>
      </c>
      <c r="R39" s="128">
        <f>+B39</f>
        <v>0</v>
      </c>
    </row>
    <row r="40" spans="1:23" ht="12.75">
      <c r="A40" s="142"/>
      <c r="B40" s="140"/>
      <c r="C40" s="140"/>
      <c r="D40" s="139"/>
      <c r="E40" s="139"/>
      <c r="F40" s="140"/>
      <c r="G40" s="139"/>
      <c r="H40" s="141"/>
      <c r="I40" s="142"/>
      <c r="J40" s="140"/>
      <c r="K40" s="140"/>
      <c r="L40" s="139"/>
      <c r="M40" s="139"/>
      <c r="N40" s="140"/>
      <c r="O40" s="139"/>
      <c r="Q40" s="128">
        <f>+A40</f>
        <v>0</v>
      </c>
      <c r="R40" s="128">
        <f>+B40</f>
        <v>0</v>
      </c>
      <c r="S40" s="128">
        <f>+C40</f>
        <v>0</v>
      </c>
      <c r="T40" s="128">
        <f>+D40</f>
        <v>0</v>
      </c>
      <c r="U40" s="128">
        <f>+E40</f>
        <v>0</v>
      </c>
      <c r="V40" s="128">
        <f>+F40</f>
        <v>0</v>
      </c>
      <c r="W40" s="128">
        <f>+G40</f>
        <v>0</v>
      </c>
    </row>
    <row r="41" spans="1:23" ht="12.75">
      <c r="A41" s="130"/>
      <c r="B41" s="157"/>
      <c r="C41" s="157"/>
      <c r="D41" s="157"/>
      <c r="E41" s="157"/>
      <c r="F41" s="157"/>
      <c r="G41" s="144"/>
      <c r="H41" s="125"/>
      <c r="I41" s="130"/>
      <c r="J41" s="157"/>
      <c r="K41" s="157"/>
      <c r="L41" s="157"/>
      <c r="M41" s="157"/>
      <c r="N41" s="157"/>
      <c r="O41" s="144"/>
      <c r="Q41" s="128">
        <f aca="true" t="shared" si="4" ref="Q41:Q49">+A41</f>
        <v>0</v>
      </c>
      <c r="R41" s="127">
        <f aca="true" t="shared" si="5" ref="R41:W49">+B41-J41</f>
        <v>0</v>
      </c>
      <c r="S41" s="127">
        <f t="shared" si="5"/>
        <v>0</v>
      </c>
      <c r="T41" s="127">
        <f t="shared" si="5"/>
        <v>0</v>
      </c>
      <c r="U41" s="127">
        <f t="shared" si="5"/>
        <v>0</v>
      </c>
      <c r="V41" s="127">
        <f t="shared" si="5"/>
        <v>0</v>
      </c>
      <c r="W41" s="127">
        <f t="shared" si="5"/>
        <v>0</v>
      </c>
    </row>
    <row r="42" spans="1:23" ht="12.75">
      <c r="A42" s="130"/>
      <c r="B42" s="157"/>
      <c r="C42" s="157"/>
      <c r="D42" s="157"/>
      <c r="E42" s="157"/>
      <c r="F42" s="157"/>
      <c r="G42" s="129"/>
      <c r="H42" s="125"/>
      <c r="I42" s="130"/>
      <c r="J42" s="157"/>
      <c r="K42" s="157"/>
      <c r="L42" s="157"/>
      <c r="M42" s="157"/>
      <c r="N42" s="157"/>
      <c r="O42" s="129"/>
      <c r="Q42" s="128">
        <f t="shared" si="4"/>
        <v>0</v>
      </c>
      <c r="R42" s="127">
        <f t="shared" si="5"/>
        <v>0</v>
      </c>
      <c r="S42" s="127">
        <f t="shared" si="5"/>
        <v>0</v>
      </c>
      <c r="T42" s="127">
        <f t="shared" si="5"/>
        <v>0</v>
      </c>
      <c r="U42" s="127">
        <f t="shared" si="5"/>
        <v>0</v>
      </c>
      <c r="V42" s="127">
        <f t="shared" si="5"/>
        <v>0</v>
      </c>
      <c r="W42" s="127">
        <f t="shared" si="5"/>
        <v>0</v>
      </c>
    </row>
    <row r="43" spans="1:23" ht="12.75">
      <c r="A43" s="130"/>
      <c r="B43" s="157"/>
      <c r="C43" s="157"/>
      <c r="D43" s="157"/>
      <c r="E43" s="157"/>
      <c r="F43" s="157"/>
      <c r="G43" s="129"/>
      <c r="H43" s="125"/>
      <c r="I43" s="130"/>
      <c r="J43" s="157"/>
      <c r="K43" s="157"/>
      <c r="L43" s="157"/>
      <c r="M43" s="157"/>
      <c r="N43" s="157"/>
      <c r="O43" s="129"/>
      <c r="Q43" s="128">
        <f t="shared" si="4"/>
        <v>0</v>
      </c>
      <c r="R43" s="127">
        <f t="shared" si="5"/>
        <v>0</v>
      </c>
      <c r="S43" s="127">
        <f t="shared" si="5"/>
        <v>0</v>
      </c>
      <c r="T43" s="127">
        <f t="shared" si="5"/>
        <v>0</v>
      </c>
      <c r="U43" s="127">
        <f t="shared" si="5"/>
        <v>0</v>
      </c>
      <c r="V43" s="127">
        <f t="shared" si="5"/>
        <v>0</v>
      </c>
      <c r="W43" s="127">
        <f t="shared" si="5"/>
        <v>0</v>
      </c>
    </row>
    <row r="44" spans="1:23" ht="12.75">
      <c r="A44" s="130"/>
      <c r="B44" s="157"/>
      <c r="C44" s="157"/>
      <c r="D44" s="157"/>
      <c r="E44" s="157"/>
      <c r="F44" s="157"/>
      <c r="G44" s="129"/>
      <c r="H44" s="125"/>
      <c r="I44" s="130"/>
      <c r="J44" s="157"/>
      <c r="K44" s="157"/>
      <c r="L44" s="157"/>
      <c r="M44" s="157"/>
      <c r="N44" s="157"/>
      <c r="O44" s="129"/>
      <c r="Q44" s="128">
        <f t="shared" si="4"/>
        <v>0</v>
      </c>
      <c r="R44" s="127">
        <f t="shared" si="5"/>
        <v>0</v>
      </c>
      <c r="S44" s="127">
        <f t="shared" si="5"/>
        <v>0</v>
      </c>
      <c r="T44" s="127">
        <f t="shared" si="5"/>
        <v>0</v>
      </c>
      <c r="U44" s="127">
        <f t="shared" si="5"/>
        <v>0</v>
      </c>
      <c r="V44" s="127">
        <f t="shared" si="5"/>
        <v>0</v>
      </c>
      <c r="W44" s="127">
        <f t="shared" si="5"/>
        <v>0</v>
      </c>
    </row>
    <row r="45" spans="1:23" ht="12.75">
      <c r="A45" s="130"/>
      <c r="B45" s="157"/>
      <c r="C45" s="157"/>
      <c r="D45" s="157"/>
      <c r="E45" s="157"/>
      <c r="F45" s="157"/>
      <c r="G45" s="129"/>
      <c r="H45" s="125"/>
      <c r="I45" s="130"/>
      <c r="J45" s="157"/>
      <c r="K45" s="157"/>
      <c r="L45" s="157"/>
      <c r="M45" s="157"/>
      <c r="N45" s="157"/>
      <c r="O45" s="129"/>
      <c r="Q45" s="128">
        <f t="shared" si="4"/>
        <v>0</v>
      </c>
      <c r="R45" s="127">
        <f t="shared" si="5"/>
        <v>0</v>
      </c>
      <c r="S45" s="127">
        <f t="shared" si="5"/>
        <v>0</v>
      </c>
      <c r="T45" s="127">
        <f t="shared" si="5"/>
        <v>0</v>
      </c>
      <c r="U45" s="127">
        <f t="shared" si="5"/>
        <v>0</v>
      </c>
      <c r="V45" s="127">
        <f t="shared" si="5"/>
        <v>0</v>
      </c>
      <c r="W45" s="127">
        <f t="shared" si="5"/>
        <v>0</v>
      </c>
    </row>
    <row r="46" spans="1:23" ht="12.75">
      <c r="A46" s="130"/>
      <c r="B46" s="157"/>
      <c r="C46" s="157"/>
      <c r="D46" s="157"/>
      <c r="E46" s="157"/>
      <c r="F46" s="157"/>
      <c r="G46" s="129"/>
      <c r="H46" s="125"/>
      <c r="I46" s="130"/>
      <c r="J46" s="157"/>
      <c r="K46" s="157"/>
      <c r="L46" s="157"/>
      <c r="M46" s="157"/>
      <c r="N46" s="157"/>
      <c r="O46" s="129"/>
      <c r="Q46" s="128">
        <f t="shared" si="4"/>
        <v>0</v>
      </c>
      <c r="R46" s="127">
        <f t="shared" si="5"/>
        <v>0</v>
      </c>
      <c r="S46" s="127">
        <f t="shared" si="5"/>
        <v>0</v>
      </c>
      <c r="T46" s="127">
        <f t="shared" si="5"/>
        <v>0</v>
      </c>
      <c r="U46" s="127">
        <f t="shared" si="5"/>
        <v>0</v>
      </c>
      <c r="V46" s="127">
        <f t="shared" si="5"/>
        <v>0</v>
      </c>
      <c r="W46" s="127">
        <f t="shared" si="5"/>
        <v>0</v>
      </c>
    </row>
    <row r="47" spans="1:23" ht="12.75">
      <c r="A47" s="130"/>
      <c r="B47" s="157"/>
      <c r="C47" s="157"/>
      <c r="D47" s="157"/>
      <c r="E47" s="157"/>
      <c r="F47" s="157"/>
      <c r="G47" s="129"/>
      <c r="H47" s="125"/>
      <c r="I47" s="130"/>
      <c r="J47" s="157"/>
      <c r="K47" s="157"/>
      <c r="L47" s="157"/>
      <c r="M47" s="157"/>
      <c r="N47" s="157"/>
      <c r="O47" s="129"/>
      <c r="Q47" s="128">
        <f t="shared" si="4"/>
        <v>0</v>
      </c>
      <c r="R47" s="127">
        <f t="shared" si="5"/>
        <v>0</v>
      </c>
      <c r="S47" s="127">
        <f t="shared" si="5"/>
        <v>0</v>
      </c>
      <c r="T47" s="127">
        <f t="shared" si="5"/>
        <v>0</v>
      </c>
      <c r="U47" s="127">
        <f t="shared" si="5"/>
        <v>0</v>
      </c>
      <c r="V47" s="127">
        <f t="shared" si="5"/>
        <v>0</v>
      </c>
      <c r="W47" s="127">
        <f t="shared" si="5"/>
        <v>0</v>
      </c>
    </row>
    <row r="48" spans="1:23" ht="12.75">
      <c r="A48" s="130"/>
      <c r="B48" s="157"/>
      <c r="C48" s="157"/>
      <c r="D48" s="157"/>
      <c r="E48" s="157"/>
      <c r="F48" s="157"/>
      <c r="G48" s="129"/>
      <c r="H48" s="125"/>
      <c r="I48" s="130"/>
      <c r="J48" s="157"/>
      <c r="K48" s="157"/>
      <c r="L48" s="157"/>
      <c r="M48" s="157"/>
      <c r="N48" s="157"/>
      <c r="O48" s="129"/>
      <c r="Q48" s="128">
        <f t="shared" si="4"/>
        <v>0</v>
      </c>
      <c r="R48" s="127">
        <f t="shared" si="5"/>
        <v>0</v>
      </c>
      <c r="S48" s="127">
        <f t="shared" si="5"/>
        <v>0</v>
      </c>
      <c r="T48" s="127">
        <f t="shared" si="5"/>
        <v>0</v>
      </c>
      <c r="U48" s="127">
        <f t="shared" si="5"/>
        <v>0</v>
      </c>
      <c r="V48" s="127">
        <f t="shared" si="5"/>
        <v>0</v>
      </c>
      <c r="W48" s="127">
        <f t="shared" si="5"/>
        <v>0</v>
      </c>
    </row>
    <row r="49" spans="1:23" ht="12.75">
      <c r="A49" s="134"/>
      <c r="B49" s="135"/>
      <c r="C49" s="132"/>
      <c r="D49" s="132"/>
      <c r="E49" s="338"/>
      <c r="F49" s="132"/>
      <c r="G49" s="341"/>
      <c r="H49" s="125"/>
      <c r="I49" s="134"/>
      <c r="J49" s="339"/>
      <c r="K49" s="216"/>
      <c r="L49" s="216"/>
      <c r="M49" s="340"/>
      <c r="N49" s="132"/>
      <c r="O49" s="133"/>
      <c r="Q49" s="128">
        <f t="shared" si="4"/>
        <v>0</v>
      </c>
      <c r="R49" s="127">
        <f t="shared" si="5"/>
        <v>0</v>
      </c>
      <c r="S49" s="127">
        <f t="shared" si="5"/>
        <v>0</v>
      </c>
      <c r="T49" s="127">
        <f t="shared" si="5"/>
        <v>0</v>
      </c>
      <c r="U49" s="127">
        <f t="shared" si="5"/>
        <v>0</v>
      </c>
      <c r="V49" s="127">
        <f t="shared" si="5"/>
        <v>0</v>
      </c>
      <c r="W49" s="127">
        <f t="shared" si="5"/>
        <v>0</v>
      </c>
    </row>
    <row r="50" spans="5:23" ht="12.75">
      <c r="E50" s="136"/>
      <c r="F50" s="136"/>
      <c r="H50" s="136"/>
      <c r="N50" s="136"/>
      <c r="O50" s="136"/>
      <c r="R50" s="127"/>
      <c r="S50" s="127"/>
      <c r="T50" s="127"/>
      <c r="U50" s="127"/>
      <c r="V50" s="127"/>
      <c r="W50" s="127"/>
    </row>
    <row r="51" spans="1:18" ht="12.75">
      <c r="A51" s="155"/>
      <c r="B51" s="156"/>
      <c r="E51" s="136"/>
      <c r="F51" s="136"/>
      <c r="G51" s="136"/>
      <c r="H51" s="136"/>
      <c r="I51" s="155"/>
      <c r="J51" s="156"/>
      <c r="M51" s="136"/>
      <c r="N51" s="136"/>
      <c r="O51" s="136"/>
      <c r="Q51" s="128">
        <f>+A51</f>
        <v>0</v>
      </c>
      <c r="R51" s="128">
        <f>+B51</f>
        <v>0</v>
      </c>
    </row>
    <row r="52" spans="1:23" ht="12.75">
      <c r="A52" s="142"/>
      <c r="B52" s="140"/>
      <c r="C52" s="140"/>
      <c r="D52" s="139"/>
      <c r="E52" s="139"/>
      <c r="F52" s="140"/>
      <c r="G52" s="139"/>
      <c r="H52" s="141"/>
      <c r="I52" s="142"/>
      <c r="J52" s="140"/>
      <c r="K52" s="140"/>
      <c r="L52" s="139"/>
      <c r="M52" s="139"/>
      <c r="N52" s="140"/>
      <c r="O52" s="139"/>
      <c r="Q52" s="128">
        <f>+A52</f>
        <v>0</v>
      </c>
      <c r="R52" s="128">
        <f>+B52</f>
        <v>0</v>
      </c>
      <c r="S52" s="128">
        <f>+C52</f>
        <v>0</v>
      </c>
      <c r="T52" s="128">
        <f>+D52</f>
        <v>0</v>
      </c>
      <c r="U52" s="128">
        <f>+E52</f>
        <v>0</v>
      </c>
      <c r="V52" s="128">
        <f>+F52</f>
        <v>0</v>
      </c>
      <c r="W52" s="128">
        <f>+G52</f>
        <v>0</v>
      </c>
    </row>
    <row r="53" spans="1:23" ht="12.75">
      <c r="A53" s="130"/>
      <c r="B53" s="157"/>
      <c r="C53" s="157"/>
      <c r="D53" s="157"/>
      <c r="E53" s="157"/>
      <c r="F53" s="157"/>
      <c r="G53" s="144"/>
      <c r="H53" s="125"/>
      <c r="I53" s="130"/>
      <c r="J53" s="157"/>
      <c r="K53" s="157"/>
      <c r="L53" s="157"/>
      <c r="M53" s="157"/>
      <c r="N53" s="157"/>
      <c r="O53" s="144"/>
      <c r="Q53" s="128">
        <f aca="true" t="shared" si="6" ref="Q53:Q61">+A53</f>
        <v>0</v>
      </c>
      <c r="R53" s="127">
        <f aca="true" t="shared" si="7" ref="R53:W61">+B53-J53</f>
        <v>0</v>
      </c>
      <c r="S53" s="127">
        <f t="shared" si="7"/>
        <v>0</v>
      </c>
      <c r="T53" s="127">
        <f t="shared" si="7"/>
        <v>0</v>
      </c>
      <c r="U53" s="127">
        <f t="shared" si="7"/>
        <v>0</v>
      </c>
      <c r="V53" s="127">
        <f t="shared" si="7"/>
        <v>0</v>
      </c>
      <c r="W53" s="127">
        <f t="shared" si="7"/>
        <v>0</v>
      </c>
    </row>
    <row r="54" spans="1:23" ht="12.75">
      <c r="A54" s="130"/>
      <c r="B54" s="157"/>
      <c r="C54" s="157"/>
      <c r="D54" s="157"/>
      <c r="E54" s="157"/>
      <c r="F54" s="157"/>
      <c r="G54" s="129"/>
      <c r="H54" s="125"/>
      <c r="I54" s="130"/>
      <c r="J54" s="157"/>
      <c r="K54" s="157"/>
      <c r="L54" s="157"/>
      <c r="M54" s="157"/>
      <c r="N54" s="157"/>
      <c r="O54" s="129"/>
      <c r="Q54" s="128">
        <f t="shared" si="6"/>
        <v>0</v>
      </c>
      <c r="R54" s="127">
        <f t="shared" si="7"/>
        <v>0</v>
      </c>
      <c r="S54" s="127">
        <f t="shared" si="7"/>
        <v>0</v>
      </c>
      <c r="T54" s="127">
        <f t="shared" si="7"/>
        <v>0</v>
      </c>
      <c r="U54" s="127">
        <f t="shared" si="7"/>
        <v>0</v>
      </c>
      <c r="V54" s="127">
        <f t="shared" si="7"/>
        <v>0</v>
      </c>
      <c r="W54" s="127">
        <f t="shared" si="7"/>
        <v>0</v>
      </c>
    </row>
    <row r="55" spans="1:23" ht="12.75">
      <c r="A55" s="130"/>
      <c r="B55" s="157"/>
      <c r="C55" s="157"/>
      <c r="D55" s="157"/>
      <c r="E55" s="157"/>
      <c r="F55" s="157"/>
      <c r="G55" s="129"/>
      <c r="H55" s="125"/>
      <c r="I55" s="130"/>
      <c r="J55" s="157"/>
      <c r="K55" s="157"/>
      <c r="L55" s="157"/>
      <c r="M55" s="157"/>
      <c r="N55" s="157"/>
      <c r="O55" s="129"/>
      <c r="Q55" s="128">
        <f t="shared" si="6"/>
        <v>0</v>
      </c>
      <c r="R55" s="127">
        <f t="shared" si="7"/>
        <v>0</v>
      </c>
      <c r="S55" s="127">
        <f t="shared" si="7"/>
        <v>0</v>
      </c>
      <c r="T55" s="127">
        <f t="shared" si="7"/>
        <v>0</v>
      </c>
      <c r="U55" s="127">
        <f t="shared" si="7"/>
        <v>0</v>
      </c>
      <c r="V55" s="127">
        <f t="shared" si="7"/>
        <v>0</v>
      </c>
      <c r="W55" s="127">
        <f t="shared" si="7"/>
        <v>0</v>
      </c>
    </row>
    <row r="56" spans="1:23" ht="12.75">
      <c r="A56" s="130"/>
      <c r="B56" s="157"/>
      <c r="C56" s="157"/>
      <c r="D56" s="157"/>
      <c r="E56" s="157"/>
      <c r="F56" s="157"/>
      <c r="G56" s="129"/>
      <c r="H56" s="125"/>
      <c r="I56" s="130"/>
      <c r="J56" s="157"/>
      <c r="K56" s="157"/>
      <c r="L56" s="157"/>
      <c r="M56" s="157"/>
      <c r="N56" s="157"/>
      <c r="O56" s="129"/>
      <c r="Q56" s="128">
        <f t="shared" si="6"/>
        <v>0</v>
      </c>
      <c r="R56" s="127">
        <f t="shared" si="7"/>
        <v>0</v>
      </c>
      <c r="S56" s="127">
        <f t="shared" si="7"/>
        <v>0</v>
      </c>
      <c r="T56" s="127">
        <f t="shared" si="7"/>
        <v>0</v>
      </c>
      <c r="U56" s="127">
        <f t="shared" si="7"/>
        <v>0</v>
      </c>
      <c r="V56" s="127">
        <f t="shared" si="7"/>
        <v>0</v>
      </c>
      <c r="W56" s="127">
        <f t="shared" si="7"/>
        <v>0</v>
      </c>
    </row>
    <row r="57" spans="1:23" ht="13.5" customHeight="1">
      <c r="A57" s="130"/>
      <c r="B57" s="157"/>
      <c r="C57" s="157"/>
      <c r="D57" s="157"/>
      <c r="E57" s="157"/>
      <c r="F57" s="157"/>
      <c r="G57" s="129"/>
      <c r="H57" s="125"/>
      <c r="I57" s="130"/>
      <c r="J57" s="157"/>
      <c r="K57" s="157"/>
      <c r="L57" s="157"/>
      <c r="M57" s="157"/>
      <c r="N57" s="157"/>
      <c r="O57" s="129"/>
      <c r="Q57" s="128">
        <f t="shared" si="6"/>
        <v>0</v>
      </c>
      <c r="R57" s="127">
        <f t="shared" si="7"/>
        <v>0</v>
      </c>
      <c r="S57" s="127">
        <f t="shared" si="7"/>
        <v>0</v>
      </c>
      <c r="T57" s="127">
        <f t="shared" si="7"/>
        <v>0</v>
      </c>
      <c r="U57" s="127">
        <f t="shared" si="7"/>
        <v>0</v>
      </c>
      <c r="V57" s="127">
        <f t="shared" si="7"/>
        <v>0</v>
      </c>
      <c r="W57" s="127">
        <f t="shared" si="7"/>
        <v>0</v>
      </c>
    </row>
    <row r="58" spans="1:23" ht="12" customHeight="1">
      <c r="A58" s="130"/>
      <c r="B58" s="157"/>
      <c r="C58" s="157"/>
      <c r="D58" s="157"/>
      <c r="E58" s="157"/>
      <c r="F58" s="157"/>
      <c r="G58" s="129"/>
      <c r="H58" s="125"/>
      <c r="I58" s="130"/>
      <c r="J58" s="157"/>
      <c r="K58" s="157"/>
      <c r="L58" s="157"/>
      <c r="M58" s="157"/>
      <c r="N58" s="157"/>
      <c r="O58" s="129"/>
      <c r="Q58" s="128">
        <f t="shared" si="6"/>
        <v>0</v>
      </c>
      <c r="R58" s="127">
        <f t="shared" si="7"/>
        <v>0</v>
      </c>
      <c r="S58" s="127">
        <f t="shared" si="7"/>
        <v>0</v>
      </c>
      <c r="T58" s="127">
        <f t="shared" si="7"/>
        <v>0</v>
      </c>
      <c r="U58" s="127">
        <f t="shared" si="7"/>
        <v>0</v>
      </c>
      <c r="V58" s="127">
        <f t="shared" si="7"/>
        <v>0</v>
      </c>
      <c r="W58" s="127">
        <f t="shared" si="7"/>
        <v>0</v>
      </c>
    </row>
    <row r="59" spans="1:23" ht="12.75">
      <c r="A59" s="130"/>
      <c r="B59" s="157"/>
      <c r="C59" s="157"/>
      <c r="D59" s="157"/>
      <c r="E59" s="157"/>
      <c r="F59" s="157"/>
      <c r="G59" s="129"/>
      <c r="H59" s="125"/>
      <c r="I59" s="130"/>
      <c r="J59" s="157"/>
      <c r="K59" s="157"/>
      <c r="L59" s="157"/>
      <c r="M59" s="157"/>
      <c r="N59" s="157"/>
      <c r="O59" s="129"/>
      <c r="Q59" s="128">
        <f t="shared" si="6"/>
        <v>0</v>
      </c>
      <c r="R59" s="127">
        <f t="shared" si="7"/>
        <v>0</v>
      </c>
      <c r="S59" s="127">
        <f t="shared" si="7"/>
        <v>0</v>
      </c>
      <c r="T59" s="127">
        <f t="shared" si="7"/>
        <v>0</v>
      </c>
      <c r="U59" s="127">
        <f t="shared" si="7"/>
        <v>0</v>
      </c>
      <c r="V59" s="127">
        <f t="shared" si="7"/>
        <v>0</v>
      </c>
      <c r="W59" s="127">
        <f t="shared" si="7"/>
        <v>0</v>
      </c>
    </row>
    <row r="60" spans="1:23" ht="12.75">
      <c r="A60" s="130"/>
      <c r="B60" s="157"/>
      <c r="C60" s="157"/>
      <c r="D60" s="157"/>
      <c r="E60" s="157"/>
      <c r="F60" s="157"/>
      <c r="G60" s="129"/>
      <c r="H60" s="125"/>
      <c r="I60" s="130"/>
      <c r="J60" s="157"/>
      <c r="K60" s="157"/>
      <c r="L60" s="157"/>
      <c r="M60" s="157"/>
      <c r="N60" s="157"/>
      <c r="O60" s="129"/>
      <c r="Q60" s="128">
        <f t="shared" si="6"/>
        <v>0</v>
      </c>
      <c r="R60" s="127">
        <f t="shared" si="7"/>
        <v>0</v>
      </c>
      <c r="S60" s="127">
        <f t="shared" si="7"/>
        <v>0</v>
      </c>
      <c r="T60" s="127">
        <f t="shared" si="7"/>
        <v>0</v>
      </c>
      <c r="U60" s="127">
        <f t="shared" si="7"/>
        <v>0</v>
      </c>
      <c r="V60" s="127">
        <f t="shared" si="7"/>
        <v>0</v>
      </c>
      <c r="W60" s="127">
        <f t="shared" si="7"/>
        <v>0</v>
      </c>
    </row>
    <row r="61" spans="1:23" ht="12.75">
      <c r="A61" s="134"/>
      <c r="B61" s="135"/>
      <c r="C61" s="132"/>
      <c r="D61" s="132"/>
      <c r="E61" s="338"/>
      <c r="F61" s="132"/>
      <c r="G61" s="133"/>
      <c r="H61" s="125"/>
      <c r="I61" s="134"/>
      <c r="J61" s="342"/>
      <c r="K61" s="343"/>
      <c r="L61" s="343"/>
      <c r="M61" s="344"/>
      <c r="N61" s="345"/>
      <c r="O61" s="346"/>
      <c r="Q61" s="128">
        <f t="shared" si="6"/>
        <v>0</v>
      </c>
      <c r="R61" s="127">
        <f t="shared" si="7"/>
        <v>0</v>
      </c>
      <c r="S61" s="127">
        <f t="shared" si="7"/>
        <v>0</v>
      </c>
      <c r="T61" s="127">
        <f t="shared" si="7"/>
        <v>0</v>
      </c>
      <c r="U61" s="127">
        <f t="shared" si="7"/>
        <v>0</v>
      </c>
      <c r="V61" s="127">
        <f t="shared" si="7"/>
        <v>0</v>
      </c>
      <c r="W61" s="127">
        <f t="shared" si="7"/>
        <v>0</v>
      </c>
    </row>
    <row r="62" spans="6:15" ht="12.75">
      <c r="F62" s="136"/>
      <c r="G62" s="136"/>
      <c r="H62" s="136"/>
      <c r="N62" s="136"/>
      <c r="O62" s="136"/>
    </row>
    <row r="63" spans="1:18" ht="12.75">
      <c r="A63" s="155"/>
      <c r="B63" s="156"/>
      <c r="E63" s="136"/>
      <c r="F63" s="136"/>
      <c r="G63" s="136"/>
      <c r="H63" s="136"/>
      <c r="I63" s="155"/>
      <c r="J63" s="156"/>
      <c r="M63" s="136"/>
      <c r="N63" s="136"/>
      <c r="O63" s="136"/>
      <c r="Q63" s="128">
        <f>+A63</f>
        <v>0</v>
      </c>
      <c r="R63" s="128">
        <f>+B63</f>
        <v>0</v>
      </c>
    </row>
    <row r="64" spans="1:23" ht="12.75">
      <c r="A64" s="142"/>
      <c r="B64" s="140"/>
      <c r="C64" s="140"/>
      <c r="D64" s="139"/>
      <c r="E64" s="139"/>
      <c r="F64" s="140"/>
      <c r="G64" s="139"/>
      <c r="H64" s="141"/>
      <c r="I64" s="142"/>
      <c r="J64" s="140"/>
      <c r="K64" s="140"/>
      <c r="L64" s="139"/>
      <c r="M64" s="139"/>
      <c r="N64" s="140"/>
      <c r="O64" s="139"/>
      <c r="Q64" s="128">
        <f>+A64</f>
        <v>0</v>
      </c>
      <c r="R64" s="128">
        <f>+B64</f>
        <v>0</v>
      </c>
      <c r="S64" s="128">
        <f>+C64</f>
        <v>0</v>
      </c>
      <c r="T64" s="128">
        <f>+D64</f>
        <v>0</v>
      </c>
      <c r="U64" s="128">
        <f>+E64</f>
        <v>0</v>
      </c>
      <c r="V64" s="128">
        <f>+F64</f>
        <v>0</v>
      </c>
      <c r="W64" s="128">
        <f>+G64</f>
        <v>0</v>
      </c>
    </row>
    <row r="65" spans="1:23" ht="12.75">
      <c r="A65" s="130"/>
      <c r="B65" s="157"/>
      <c r="C65" s="157"/>
      <c r="D65" s="157"/>
      <c r="E65" s="157"/>
      <c r="F65" s="157"/>
      <c r="G65" s="144"/>
      <c r="H65" s="125"/>
      <c r="I65" s="130"/>
      <c r="J65" s="157"/>
      <c r="K65" s="157"/>
      <c r="L65" s="157"/>
      <c r="M65" s="157"/>
      <c r="N65" s="157"/>
      <c r="O65" s="144"/>
      <c r="Q65" s="128">
        <f aca="true" t="shared" si="8" ref="Q65:Q73">+A65</f>
        <v>0</v>
      </c>
      <c r="R65" s="127">
        <f aca="true" t="shared" si="9" ref="R65:W73">+B65-J65</f>
        <v>0</v>
      </c>
      <c r="S65" s="127">
        <f t="shared" si="9"/>
        <v>0</v>
      </c>
      <c r="T65" s="127">
        <f t="shared" si="9"/>
        <v>0</v>
      </c>
      <c r="U65" s="127">
        <f t="shared" si="9"/>
        <v>0</v>
      </c>
      <c r="V65" s="127">
        <f t="shared" si="9"/>
        <v>0</v>
      </c>
      <c r="W65" s="127">
        <f t="shared" si="9"/>
        <v>0</v>
      </c>
    </row>
    <row r="66" spans="1:23" ht="12.75">
      <c r="A66" s="130"/>
      <c r="B66" s="157"/>
      <c r="C66" s="157"/>
      <c r="D66" s="157"/>
      <c r="E66" s="157"/>
      <c r="F66" s="157"/>
      <c r="G66" s="129"/>
      <c r="H66" s="125"/>
      <c r="I66" s="130"/>
      <c r="J66" s="157"/>
      <c r="K66" s="157"/>
      <c r="L66" s="157"/>
      <c r="M66" s="157"/>
      <c r="N66" s="157"/>
      <c r="O66" s="129"/>
      <c r="Q66" s="128">
        <f t="shared" si="8"/>
        <v>0</v>
      </c>
      <c r="R66" s="127">
        <f t="shared" si="9"/>
        <v>0</v>
      </c>
      <c r="S66" s="127">
        <f t="shared" si="9"/>
        <v>0</v>
      </c>
      <c r="T66" s="127">
        <f t="shared" si="9"/>
        <v>0</v>
      </c>
      <c r="U66" s="127">
        <f t="shared" si="9"/>
        <v>0</v>
      </c>
      <c r="V66" s="127">
        <f t="shared" si="9"/>
        <v>0</v>
      </c>
      <c r="W66" s="127">
        <f t="shared" si="9"/>
        <v>0</v>
      </c>
    </row>
    <row r="67" spans="1:23" ht="12.75">
      <c r="A67" s="130"/>
      <c r="B67" s="157"/>
      <c r="C67" s="157"/>
      <c r="D67" s="157"/>
      <c r="E67" s="157"/>
      <c r="F67" s="157"/>
      <c r="G67" s="129"/>
      <c r="H67" s="125"/>
      <c r="I67" s="130"/>
      <c r="J67" s="157"/>
      <c r="K67" s="157"/>
      <c r="L67" s="157"/>
      <c r="M67" s="157"/>
      <c r="N67" s="157"/>
      <c r="O67" s="129"/>
      <c r="Q67" s="128">
        <f t="shared" si="8"/>
        <v>0</v>
      </c>
      <c r="R67" s="127">
        <f t="shared" si="9"/>
        <v>0</v>
      </c>
      <c r="S67" s="127">
        <f t="shared" si="9"/>
        <v>0</v>
      </c>
      <c r="T67" s="127">
        <f t="shared" si="9"/>
        <v>0</v>
      </c>
      <c r="U67" s="127">
        <f t="shared" si="9"/>
        <v>0</v>
      </c>
      <c r="V67" s="127">
        <f t="shared" si="9"/>
        <v>0</v>
      </c>
      <c r="W67" s="127">
        <f t="shared" si="9"/>
        <v>0</v>
      </c>
    </row>
    <row r="68" spans="1:23" ht="12.75">
      <c r="A68" s="130"/>
      <c r="B68" s="157"/>
      <c r="C68" s="157"/>
      <c r="D68" s="157"/>
      <c r="E68" s="157"/>
      <c r="F68" s="157"/>
      <c r="G68" s="129"/>
      <c r="H68" s="125"/>
      <c r="I68" s="130"/>
      <c r="J68" s="157"/>
      <c r="K68" s="157"/>
      <c r="L68" s="157"/>
      <c r="M68" s="157"/>
      <c r="N68" s="157"/>
      <c r="O68" s="129"/>
      <c r="Q68" s="128">
        <f t="shared" si="8"/>
        <v>0</v>
      </c>
      <c r="R68" s="127">
        <f t="shared" si="9"/>
        <v>0</v>
      </c>
      <c r="S68" s="127">
        <f t="shared" si="9"/>
        <v>0</v>
      </c>
      <c r="T68" s="127">
        <f t="shared" si="9"/>
        <v>0</v>
      </c>
      <c r="U68" s="127">
        <f t="shared" si="9"/>
        <v>0</v>
      </c>
      <c r="V68" s="127">
        <f t="shared" si="9"/>
        <v>0</v>
      </c>
      <c r="W68" s="127">
        <f t="shared" si="9"/>
        <v>0</v>
      </c>
    </row>
    <row r="69" spans="1:23" ht="12.75">
      <c r="A69" s="130"/>
      <c r="B69" s="157"/>
      <c r="C69" s="157"/>
      <c r="D69" s="157"/>
      <c r="E69" s="157"/>
      <c r="F69" s="157"/>
      <c r="G69" s="129"/>
      <c r="H69" s="125"/>
      <c r="I69" s="130"/>
      <c r="J69" s="157"/>
      <c r="K69" s="157"/>
      <c r="L69" s="157"/>
      <c r="M69" s="157"/>
      <c r="N69" s="157"/>
      <c r="O69" s="129"/>
      <c r="Q69" s="128">
        <f t="shared" si="8"/>
        <v>0</v>
      </c>
      <c r="R69" s="127">
        <f t="shared" si="9"/>
        <v>0</v>
      </c>
      <c r="S69" s="127">
        <f t="shared" si="9"/>
        <v>0</v>
      </c>
      <c r="T69" s="127">
        <f t="shared" si="9"/>
        <v>0</v>
      </c>
      <c r="U69" s="127">
        <f t="shared" si="9"/>
        <v>0</v>
      </c>
      <c r="V69" s="127">
        <f t="shared" si="9"/>
        <v>0</v>
      </c>
      <c r="W69" s="127">
        <f t="shared" si="9"/>
        <v>0</v>
      </c>
    </row>
    <row r="70" spans="1:23" ht="12.75">
      <c r="A70" s="130"/>
      <c r="B70" s="157"/>
      <c r="C70" s="157"/>
      <c r="D70" s="157"/>
      <c r="E70" s="157"/>
      <c r="F70" s="157"/>
      <c r="G70" s="129"/>
      <c r="H70" s="125"/>
      <c r="I70" s="130"/>
      <c r="J70" s="157"/>
      <c r="K70" s="157"/>
      <c r="L70" s="157"/>
      <c r="M70" s="157"/>
      <c r="N70" s="157"/>
      <c r="O70" s="129"/>
      <c r="Q70" s="128">
        <f t="shared" si="8"/>
        <v>0</v>
      </c>
      <c r="R70" s="127">
        <f t="shared" si="9"/>
        <v>0</v>
      </c>
      <c r="S70" s="127">
        <f t="shared" si="9"/>
        <v>0</v>
      </c>
      <c r="T70" s="127">
        <f t="shared" si="9"/>
        <v>0</v>
      </c>
      <c r="U70" s="127">
        <f t="shared" si="9"/>
        <v>0</v>
      </c>
      <c r="V70" s="127">
        <f t="shared" si="9"/>
        <v>0</v>
      </c>
      <c r="W70" s="127">
        <f t="shared" si="9"/>
        <v>0</v>
      </c>
    </row>
    <row r="71" spans="1:23" ht="12.75">
      <c r="A71" s="130"/>
      <c r="B71" s="157"/>
      <c r="C71" s="157"/>
      <c r="D71" s="157"/>
      <c r="E71" s="157"/>
      <c r="F71" s="157"/>
      <c r="G71" s="129"/>
      <c r="H71" s="125"/>
      <c r="I71" s="130"/>
      <c r="J71" s="157"/>
      <c r="K71" s="157"/>
      <c r="L71" s="157"/>
      <c r="M71" s="157"/>
      <c r="N71" s="157"/>
      <c r="O71" s="129"/>
      <c r="Q71" s="128">
        <f t="shared" si="8"/>
        <v>0</v>
      </c>
      <c r="R71" s="127">
        <f t="shared" si="9"/>
        <v>0</v>
      </c>
      <c r="S71" s="127">
        <f t="shared" si="9"/>
        <v>0</v>
      </c>
      <c r="T71" s="127">
        <f t="shared" si="9"/>
        <v>0</v>
      </c>
      <c r="U71" s="127">
        <f t="shared" si="9"/>
        <v>0</v>
      </c>
      <c r="V71" s="127">
        <f t="shared" si="9"/>
        <v>0</v>
      </c>
      <c r="W71" s="127">
        <f t="shared" si="9"/>
        <v>0</v>
      </c>
    </row>
    <row r="72" spans="1:23" ht="12.75">
      <c r="A72" s="130"/>
      <c r="B72" s="157"/>
      <c r="C72" s="157"/>
      <c r="D72" s="157"/>
      <c r="E72" s="157"/>
      <c r="F72" s="157"/>
      <c r="G72" s="129"/>
      <c r="H72" s="125"/>
      <c r="I72" s="130"/>
      <c r="J72" s="157"/>
      <c r="K72" s="157"/>
      <c r="L72" s="157"/>
      <c r="M72" s="157"/>
      <c r="N72" s="157"/>
      <c r="O72" s="129"/>
      <c r="Q72" s="128">
        <f t="shared" si="8"/>
        <v>0</v>
      </c>
      <c r="R72" s="127">
        <f t="shared" si="9"/>
        <v>0</v>
      </c>
      <c r="S72" s="127">
        <f t="shared" si="9"/>
        <v>0</v>
      </c>
      <c r="T72" s="127">
        <f t="shared" si="9"/>
        <v>0</v>
      </c>
      <c r="U72" s="127">
        <f t="shared" si="9"/>
        <v>0</v>
      </c>
      <c r="V72" s="127">
        <f t="shared" si="9"/>
        <v>0</v>
      </c>
      <c r="W72" s="127">
        <f t="shared" si="9"/>
        <v>0</v>
      </c>
    </row>
    <row r="73" spans="1:23" ht="12.75">
      <c r="A73" s="134"/>
      <c r="B73" s="135"/>
      <c r="C73" s="132"/>
      <c r="D73" s="132"/>
      <c r="E73" s="338"/>
      <c r="F73" s="132"/>
      <c r="G73" s="133"/>
      <c r="H73" s="125"/>
      <c r="I73" s="134"/>
      <c r="J73" s="339"/>
      <c r="K73" s="216"/>
      <c r="L73" s="216"/>
      <c r="M73" s="340"/>
      <c r="N73" s="132"/>
      <c r="O73" s="133"/>
      <c r="Q73" s="128">
        <f t="shared" si="8"/>
        <v>0</v>
      </c>
      <c r="R73" s="127">
        <f t="shared" si="9"/>
        <v>0</v>
      </c>
      <c r="S73" s="127">
        <f t="shared" si="9"/>
        <v>0</v>
      </c>
      <c r="T73" s="127">
        <f t="shared" si="9"/>
        <v>0</v>
      </c>
      <c r="U73" s="127">
        <f t="shared" si="9"/>
        <v>0</v>
      </c>
      <c r="V73" s="127">
        <f t="shared" si="9"/>
        <v>0</v>
      </c>
      <c r="W73" s="127">
        <f t="shared" si="9"/>
        <v>0</v>
      </c>
    </row>
    <row r="74" spans="6:15" ht="12.75">
      <c r="F74" s="136"/>
      <c r="G74" s="136"/>
      <c r="H74" s="136"/>
      <c r="N74" s="136"/>
      <c r="O74" s="136"/>
    </row>
    <row r="75" spans="1:18" ht="12.75">
      <c r="A75" s="155"/>
      <c r="B75" s="156"/>
      <c r="E75" s="136"/>
      <c r="F75" s="136"/>
      <c r="G75" s="136"/>
      <c r="H75" s="136"/>
      <c r="I75" s="155"/>
      <c r="J75" s="156"/>
      <c r="M75" s="136"/>
      <c r="N75" s="136"/>
      <c r="O75" s="136"/>
      <c r="Q75" s="128">
        <f>+A75</f>
        <v>0</v>
      </c>
      <c r="R75" s="128">
        <f>+B75</f>
        <v>0</v>
      </c>
    </row>
    <row r="76" spans="1:23" ht="12.75">
      <c r="A76" s="142"/>
      <c r="B76" s="140"/>
      <c r="C76" s="140"/>
      <c r="D76" s="139"/>
      <c r="E76" s="139"/>
      <c r="F76" s="140"/>
      <c r="G76" s="139"/>
      <c r="H76" s="141"/>
      <c r="I76" s="142"/>
      <c r="J76" s="140"/>
      <c r="K76" s="140"/>
      <c r="L76" s="139"/>
      <c r="M76" s="139"/>
      <c r="N76" s="140"/>
      <c r="O76" s="139"/>
      <c r="Q76" s="128">
        <f>+A76</f>
        <v>0</v>
      </c>
      <c r="R76" s="128">
        <f>+B76</f>
        <v>0</v>
      </c>
      <c r="S76" s="128">
        <f>+C76</f>
        <v>0</v>
      </c>
      <c r="T76" s="128">
        <f>+D76</f>
        <v>0</v>
      </c>
      <c r="U76" s="128">
        <f>+E76</f>
        <v>0</v>
      </c>
      <c r="V76" s="128">
        <f>+F76</f>
        <v>0</v>
      </c>
      <c r="W76" s="128">
        <f>+G76</f>
        <v>0</v>
      </c>
    </row>
    <row r="77" spans="1:23" ht="12.75">
      <c r="A77" s="130"/>
      <c r="B77" s="157"/>
      <c r="C77" s="157"/>
      <c r="D77" s="157"/>
      <c r="E77" s="157"/>
      <c r="F77" s="157"/>
      <c r="G77" s="144"/>
      <c r="H77" s="125"/>
      <c r="I77" s="130"/>
      <c r="J77" s="157"/>
      <c r="K77" s="157"/>
      <c r="L77" s="157"/>
      <c r="M77" s="157"/>
      <c r="N77" s="157"/>
      <c r="O77" s="144"/>
      <c r="Q77" s="128">
        <f aca="true" t="shared" si="10" ref="Q77:Q85">+A77</f>
        <v>0</v>
      </c>
      <c r="R77" s="127">
        <f aca="true" t="shared" si="11" ref="R77:W85">+B77-J77</f>
        <v>0</v>
      </c>
      <c r="S77" s="127">
        <f t="shared" si="11"/>
        <v>0</v>
      </c>
      <c r="T77" s="127">
        <f t="shared" si="11"/>
        <v>0</v>
      </c>
      <c r="U77" s="127">
        <f t="shared" si="11"/>
        <v>0</v>
      </c>
      <c r="V77" s="127">
        <f t="shared" si="11"/>
        <v>0</v>
      </c>
      <c r="W77" s="127">
        <f t="shared" si="11"/>
        <v>0</v>
      </c>
    </row>
    <row r="78" spans="1:23" ht="12.75">
      <c r="A78" s="130"/>
      <c r="B78" s="157"/>
      <c r="C78" s="157"/>
      <c r="D78" s="157"/>
      <c r="E78" s="157"/>
      <c r="F78" s="157"/>
      <c r="G78" s="129"/>
      <c r="H78" s="125"/>
      <c r="I78" s="130"/>
      <c r="J78" s="157"/>
      <c r="K78" s="157"/>
      <c r="L78" s="157"/>
      <c r="M78" s="157"/>
      <c r="N78" s="157"/>
      <c r="O78" s="129"/>
      <c r="Q78" s="128">
        <f t="shared" si="10"/>
        <v>0</v>
      </c>
      <c r="R78" s="127">
        <f t="shared" si="11"/>
        <v>0</v>
      </c>
      <c r="S78" s="127">
        <f t="shared" si="11"/>
        <v>0</v>
      </c>
      <c r="T78" s="127">
        <f t="shared" si="11"/>
        <v>0</v>
      </c>
      <c r="U78" s="127">
        <f t="shared" si="11"/>
        <v>0</v>
      </c>
      <c r="V78" s="127">
        <f t="shared" si="11"/>
        <v>0</v>
      </c>
      <c r="W78" s="127">
        <f t="shared" si="11"/>
        <v>0</v>
      </c>
    </row>
    <row r="79" spans="1:23" ht="12.75">
      <c r="A79" s="130"/>
      <c r="B79" s="157"/>
      <c r="C79" s="157"/>
      <c r="D79" s="157"/>
      <c r="E79" s="157"/>
      <c r="F79" s="157"/>
      <c r="G79" s="129"/>
      <c r="H79" s="125"/>
      <c r="I79" s="130"/>
      <c r="J79" s="157"/>
      <c r="K79" s="157"/>
      <c r="L79" s="157"/>
      <c r="M79" s="157"/>
      <c r="N79" s="157"/>
      <c r="O79" s="129"/>
      <c r="Q79" s="128">
        <f t="shared" si="10"/>
        <v>0</v>
      </c>
      <c r="R79" s="127">
        <f t="shared" si="11"/>
        <v>0</v>
      </c>
      <c r="S79" s="127">
        <f t="shared" si="11"/>
        <v>0</v>
      </c>
      <c r="T79" s="127">
        <f t="shared" si="11"/>
        <v>0</v>
      </c>
      <c r="U79" s="127">
        <f t="shared" si="11"/>
        <v>0</v>
      </c>
      <c r="V79" s="127">
        <f t="shared" si="11"/>
        <v>0</v>
      </c>
      <c r="W79" s="127">
        <f t="shared" si="11"/>
        <v>0</v>
      </c>
    </row>
    <row r="80" spans="1:23" ht="12.75">
      <c r="A80" s="130"/>
      <c r="B80" s="157"/>
      <c r="C80" s="157"/>
      <c r="D80" s="157"/>
      <c r="E80" s="157"/>
      <c r="F80" s="157"/>
      <c r="G80" s="129"/>
      <c r="H80" s="125"/>
      <c r="I80" s="130"/>
      <c r="J80" s="157"/>
      <c r="K80" s="157"/>
      <c r="L80" s="157"/>
      <c r="M80" s="157"/>
      <c r="N80" s="157"/>
      <c r="O80" s="129"/>
      <c r="Q80" s="128">
        <f t="shared" si="10"/>
        <v>0</v>
      </c>
      <c r="R80" s="127">
        <f t="shared" si="11"/>
        <v>0</v>
      </c>
      <c r="S80" s="127">
        <f t="shared" si="11"/>
        <v>0</v>
      </c>
      <c r="T80" s="127">
        <f t="shared" si="11"/>
        <v>0</v>
      </c>
      <c r="U80" s="127">
        <f t="shared" si="11"/>
        <v>0</v>
      </c>
      <c r="V80" s="127">
        <f t="shared" si="11"/>
        <v>0</v>
      </c>
      <c r="W80" s="127">
        <f t="shared" si="11"/>
        <v>0</v>
      </c>
    </row>
    <row r="81" spans="1:23" ht="12.75">
      <c r="A81" s="130"/>
      <c r="B81" s="157"/>
      <c r="C81" s="157"/>
      <c r="D81" s="157"/>
      <c r="E81" s="157"/>
      <c r="F81" s="157"/>
      <c r="G81" s="129"/>
      <c r="H81" s="125"/>
      <c r="I81" s="130"/>
      <c r="J81" s="157"/>
      <c r="K81" s="157"/>
      <c r="L81" s="157"/>
      <c r="M81" s="157"/>
      <c r="N81" s="157"/>
      <c r="O81" s="129"/>
      <c r="Q81" s="128">
        <f t="shared" si="10"/>
        <v>0</v>
      </c>
      <c r="R81" s="127">
        <f t="shared" si="11"/>
        <v>0</v>
      </c>
      <c r="S81" s="127">
        <f t="shared" si="11"/>
        <v>0</v>
      </c>
      <c r="T81" s="127">
        <f t="shared" si="11"/>
        <v>0</v>
      </c>
      <c r="U81" s="127">
        <f t="shared" si="11"/>
        <v>0</v>
      </c>
      <c r="V81" s="127">
        <f t="shared" si="11"/>
        <v>0</v>
      </c>
      <c r="W81" s="127">
        <f t="shared" si="11"/>
        <v>0</v>
      </c>
    </row>
    <row r="82" spans="1:23" ht="12.75">
      <c r="A82" s="130"/>
      <c r="B82" s="157"/>
      <c r="C82" s="157"/>
      <c r="D82" s="157"/>
      <c r="E82" s="157"/>
      <c r="F82" s="157"/>
      <c r="G82" s="129"/>
      <c r="H82" s="125"/>
      <c r="I82" s="130"/>
      <c r="J82" s="157"/>
      <c r="K82" s="157"/>
      <c r="L82" s="157"/>
      <c r="M82" s="157"/>
      <c r="N82" s="157"/>
      <c r="O82" s="129"/>
      <c r="Q82" s="128">
        <f t="shared" si="10"/>
        <v>0</v>
      </c>
      <c r="R82" s="127">
        <f t="shared" si="11"/>
        <v>0</v>
      </c>
      <c r="S82" s="127">
        <f t="shared" si="11"/>
        <v>0</v>
      </c>
      <c r="T82" s="127">
        <f t="shared" si="11"/>
        <v>0</v>
      </c>
      <c r="U82" s="127">
        <f t="shared" si="11"/>
        <v>0</v>
      </c>
      <c r="V82" s="127">
        <f t="shared" si="11"/>
        <v>0</v>
      </c>
      <c r="W82" s="127">
        <f t="shared" si="11"/>
        <v>0</v>
      </c>
    </row>
    <row r="83" spans="1:23" ht="12.75">
      <c r="A83" s="130"/>
      <c r="B83" s="157"/>
      <c r="C83" s="157"/>
      <c r="D83" s="157"/>
      <c r="E83" s="157"/>
      <c r="F83" s="157"/>
      <c r="G83" s="129"/>
      <c r="H83" s="125"/>
      <c r="I83" s="130"/>
      <c r="J83" s="157"/>
      <c r="K83" s="157"/>
      <c r="L83" s="157"/>
      <c r="M83" s="157"/>
      <c r="N83" s="157"/>
      <c r="O83" s="129"/>
      <c r="Q83" s="128">
        <f t="shared" si="10"/>
        <v>0</v>
      </c>
      <c r="R83" s="127">
        <f t="shared" si="11"/>
        <v>0</v>
      </c>
      <c r="S83" s="127">
        <f t="shared" si="11"/>
        <v>0</v>
      </c>
      <c r="T83" s="127">
        <f t="shared" si="11"/>
        <v>0</v>
      </c>
      <c r="U83" s="127">
        <f t="shared" si="11"/>
        <v>0</v>
      </c>
      <c r="V83" s="127">
        <f t="shared" si="11"/>
        <v>0</v>
      </c>
      <c r="W83" s="127">
        <f t="shared" si="11"/>
        <v>0</v>
      </c>
    </row>
    <row r="84" spans="1:23" ht="12.75">
      <c r="A84" s="130"/>
      <c r="B84" s="157"/>
      <c r="C84" s="157"/>
      <c r="D84" s="157"/>
      <c r="E84" s="157"/>
      <c r="F84" s="157"/>
      <c r="G84" s="129"/>
      <c r="H84" s="125"/>
      <c r="I84" s="130"/>
      <c r="J84" s="157"/>
      <c r="K84" s="157"/>
      <c r="L84" s="157"/>
      <c r="M84" s="157"/>
      <c r="N84" s="157"/>
      <c r="O84" s="129"/>
      <c r="Q84" s="128">
        <f t="shared" si="10"/>
        <v>0</v>
      </c>
      <c r="R84" s="127">
        <f t="shared" si="11"/>
        <v>0</v>
      </c>
      <c r="S84" s="127">
        <f t="shared" si="11"/>
        <v>0</v>
      </c>
      <c r="T84" s="127">
        <f t="shared" si="11"/>
        <v>0</v>
      </c>
      <c r="U84" s="127">
        <f t="shared" si="11"/>
        <v>0</v>
      </c>
      <c r="V84" s="127">
        <f t="shared" si="11"/>
        <v>0</v>
      </c>
      <c r="W84" s="127">
        <f t="shared" si="11"/>
        <v>0</v>
      </c>
    </row>
    <row r="85" spans="1:23" ht="12.75">
      <c r="A85" s="134"/>
      <c r="B85" s="135"/>
      <c r="C85" s="132"/>
      <c r="D85" s="132"/>
      <c r="E85" s="338"/>
      <c r="F85" s="132"/>
      <c r="G85" s="133"/>
      <c r="H85" s="125"/>
      <c r="I85" s="134"/>
      <c r="J85" s="339"/>
      <c r="K85" s="216"/>
      <c r="L85" s="216"/>
      <c r="M85" s="340"/>
      <c r="N85" s="132"/>
      <c r="O85" s="133"/>
      <c r="Q85" s="128">
        <f t="shared" si="10"/>
        <v>0</v>
      </c>
      <c r="R85" s="127">
        <f t="shared" si="11"/>
        <v>0</v>
      </c>
      <c r="S85" s="127">
        <f t="shared" si="11"/>
        <v>0</v>
      </c>
      <c r="T85" s="127">
        <f t="shared" si="11"/>
        <v>0</v>
      </c>
      <c r="U85" s="127">
        <f t="shared" si="11"/>
        <v>0</v>
      </c>
      <c r="V85" s="127">
        <f t="shared" si="11"/>
        <v>0</v>
      </c>
      <c r="W85" s="127">
        <f t="shared" si="11"/>
        <v>0</v>
      </c>
    </row>
    <row r="86" spans="6:15" ht="12.75">
      <c r="F86" s="136"/>
      <c r="G86" s="136"/>
      <c r="H86" s="136"/>
      <c r="N86" s="136"/>
      <c r="O86" s="136"/>
    </row>
    <row r="87" spans="5:15" ht="12.75">
      <c r="E87" s="136"/>
      <c r="F87" s="136"/>
      <c r="G87" s="136"/>
      <c r="H87" s="136"/>
      <c r="M87" s="136"/>
      <c r="N87" s="136"/>
      <c r="O87" s="136"/>
    </row>
    <row r="88" spans="1:15" ht="12.75">
      <c r="A88" s="146"/>
      <c r="E88" s="136"/>
      <c r="F88" s="136"/>
      <c r="G88" s="136"/>
      <c r="H88" s="136"/>
      <c r="I88" s="146"/>
      <c r="M88" s="136"/>
      <c r="N88" s="136"/>
      <c r="O88" s="136"/>
    </row>
    <row r="89" spans="5:15" ht="12.75">
      <c r="E89" s="136"/>
      <c r="F89" s="136"/>
      <c r="G89" s="136"/>
      <c r="H89" s="136"/>
      <c r="M89" s="136"/>
      <c r="N89" s="136"/>
      <c r="O89" s="136"/>
    </row>
    <row r="90" spans="5:15" ht="12.75">
      <c r="E90" s="136"/>
      <c r="F90" s="136"/>
      <c r="G90" s="136"/>
      <c r="H90" s="136"/>
      <c r="M90" s="136"/>
      <c r="N90" s="136"/>
      <c r="O90" s="136"/>
    </row>
    <row r="91" spans="5:15" ht="12.75">
      <c r="E91" s="136"/>
      <c r="F91" s="136"/>
      <c r="G91" s="136"/>
      <c r="H91" s="136"/>
      <c r="M91" s="136"/>
      <c r="N91" s="136"/>
      <c r="O91" s="136"/>
    </row>
    <row r="92" spans="5:15" ht="12.75">
      <c r="E92" s="136"/>
      <c r="F92" s="136"/>
      <c r="G92" s="136"/>
      <c r="H92" s="136"/>
      <c r="M92" s="136"/>
      <c r="N92" s="136"/>
      <c r="O92" s="136"/>
    </row>
    <row r="93" spans="5:15" ht="12.75">
      <c r="E93" s="136"/>
      <c r="F93" s="136"/>
      <c r="G93" s="136"/>
      <c r="H93" s="136"/>
      <c r="M93" s="136"/>
      <c r="N93" s="136"/>
      <c r="O93" s="136"/>
    </row>
  </sheetData>
  <printOptions/>
  <pageMargins left="0.75" right="0.75" top="1" bottom="1" header="0.4921259845" footer="0.4921259845"/>
  <pageSetup fitToHeight="1" fitToWidth="1" horizontalDpi="300" verticalDpi="300" orientation="portrait" paperSize="9" scale="38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W93"/>
  <sheetViews>
    <sheetView zoomScale="75" zoomScaleNormal="75" workbookViewId="0" topLeftCell="A1">
      <selection activeCell="F37" sqref="F37"/>
    </sheetView>
  </sheetViews>
  <sheetFormatPr defaultColWidth="11.5546875" defaultRowHeight="15"/>
  <cols>
    <col min="1" max="1" width="7.77734375" style="128" customWidth="1"/>
    <col min="2" max="16" width="6.77734375" style="128" customWidth="1"/>
    <col min="17" max="17" width="11.5546875" style="128" customWidth="1" collapsed="1"/>
    <col min="18" max="16384" width="11.5546875" style="128" customWidth="1"/>
  </cols>
  <sheetData>
    <row r="1" spans="1:10" ht="13.5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2" ht="13.5" thickBot="1">
      <c r="A2" s="3"/>
      <c r="B2" s="4"/>
    </row>
    <row r="3" ht="12.75">
      <c r="B3" s="334"/>
    </row>
    <row r="4" spans="2:8" ht="12.75">
      <c r="B4" s="334"/>
      <c r="E4" s="335"/>
      <c r="H4" s="334"/>
    </row>
    <row r="5" spans="1:7" ht="12.75">
      <c r="A5" s="150"/>
      <c r="B5" s="151"/>
      <c r="C5" s="334"/>
      <c r="D5" s="152"/>
      <c r="G5" s="150"/>
    </row>
    <row r="6" spans="1:3" ht="12" customHeight="1">
      <c r="A6" s="153"/>
      <c r="B6" s="151"/>
      <c r="C6" s="334"/>
    </row>
    <row r="7" spans="2:3" ht="12.75">
      <c r="B7" s="151"/>
      <c r="C7" s="334"/>
    </row>
    <row r="8" spans="1:3" ht="12.75">
      <c r="A8" s="150"/>
      <c r="B8" s="151"/>
      <c r="C8" s="151"/>
    </row>
    <row r="9" ht="12.75">
      <c r="K9" s="334"/>
    </row>
    <row r="11" ht="12.75">
      <c r="E11" s="335"/>
    </row>
    <row r="12" spans="1:2" ht="12.75">
      <c r="A12" s="82"/>
      <c r="B12" s="82"/>
    </row>
    <row r="14" spans="1:17" ht="12.75">
      <c r="A14" s="128" t="s">
        <v>27</v>
      </c>
      <c r="I14" s="128" t="s">
        <v>28</v>
      </c>
      <c r="Q14" s="128" t="s">
        <v>32</v>
      </c>
    </row>
    <row r="15" spans="1:18" ht="12.75">
      <c r="A15" s="155" t="s">
        <v>0</v>
      </c>
      <c r="B15" s="156" t="s">
        <v>1</v>
      </c>
      <c r="E15" s="136"/>
      <c r="F15" s="136"/>
      <c r="G15" s="136"/>
      <c r="H15" s="136"/>
      <c r="I15" s="155" t="s">
        <v>0</v>
      </c>
      <c r="J15" s="156" t="s">
        <v>1</v>
      </c>
      <c r="M15" s="136"/>
      <c r="N15" s="136"/>
      <c r="O15" s="136"/>
      <c r="Q15" s="128" t="str">
        <f>+A15</f>
        <v>125 Hz</v>
      </c>
      <c r="R15" s="128" t="str">
        <f>+B15</f>
        <v>octave</v>
      </c>
    </row>
    <row r="16" spans="1:23" ht="12.75">
      <c r="A16" s="142"/>
      <c r="B16" s="140" t="s">
        <v>2</v>
      </c>
      <c r="C16" s="140" t="s">
        <v>3</v>
      </c>
      <c r="D16" s="139" t="s">
        <v>4</v>
      </c>
      <c r="E16" s="139" t="s">
        <v>5</v>
      </c>
      <c r="F16" s="140" t="s">
        <v>6</v>
      </c>
      <c r="G16" s="139" t="s">
        <v>7</v>
      </c>
      <c r="H16" s="141"/>
      <c r="I16" s="142"/>
      <c r="J16" s="140" t="s">
        <v>2</v>
      </c>
      <c r="K16" s="140" t="s">
        <v>3</v>
      </c>
      <c r="L16" s="139" t="s">
        <v>4</v>
      </c>
      <c r="M16" s="139" t="s">
        <v>5</v>
      </c>
      <c r="N16" s="140" t="s">
        <v>6</v>
      </c>
      <c r="O16" s="139" t="s">
        <v>7</v>
      </c>
      <c r="P16" s="157"/>
      <c r="Q16" s="128">
        <f>+A16</f>
        <v>0</v>
      </c>
      <c r="R16" s="128" t="str">
        <f>+B16</f>
        <v>S1R1</v>
      </c>
      <c r="S16" s="128" t="str">
        <f>+C16</f>
        <v>S1R2</v>
      </c>
      <c r="T16" s="128" t="str">
        <f>+D16</f>
        <v>S1R3</v>
      </c>
      <c r="U16" s="128" t="str">
        <f>+E16</f>
        <v>S2R1</v>
      </c>
      <c r="V16" s="128" t="str">
        <f>+F16</f>
        <v>S2R2</v>
      </c>
      <c r="W16" s="128" t="str">
        <f>+G16</f>
        <v>S2R3</v>
      </c>
    </row>
    <row r="17" spans="1:23" ht="12.75">
      <c r="A17" s="130" t="s">
        <v>8</v>
      </c>
      <c r="B17" s="145">
        <v>0.69</v>
      </c>
      <c r="C17" s="143">
        <v>0.65</v>
      </c>
      <c r="D17" s="143">
        <v>0.63</v>
      </c>
      <c r="E17" s="125">
        <v>0.59</v>
      </c>
      <c r="F17" s="143">
        <v>0.64</v>
      </c>
      <c r="G17" s="144">
        <v>0.59</v>
      </c>
      <c r="H17" s="125"/>
      <c r="I17" s="130" t="s">
        <v>8</v>
      </c>
      <c r="J17" s="145">
        <v>0.59</v>
      </c>
      <c r="K17" s="143">
        <v>0.71</v>
      </c>
      <c r="L17" s="143">
        <v>0.64</v>
      </c>
      <c r="M17" s="125">
        <v>0.51</v>
      </c>
      <c r="N17" s="143">
        <v>0.6</v>
      </c>
      <c r="O17" s="144">
        <v>0.56</v>
      </c>
      <c r="P17" s="158"/>
      <c r="Q17" s="128" t="str">
        <f aca="true" t="shared" si="0" ref="Q17:Q25">+A17</f>
        <v>T30/s</v>
      </c>
      <c r="R17" s="127">
        <f aca="true" t="shared" si="1" ref="R17:W25">+B17-J17</f>
        <v>0.09999999999999998</v>
      </c>
      <c r="S17" s="127">
        <f t="shared" si="1"/>
        <v>-0.05999999999999994</v>
      </c>
      <c r="T17" s="127">
        <f t="shared" si="1"/>
        <v>-0.010000000000000009</v>
      </c>
      <c r="U17" s="127">
        <f t="shared" si="1"/>
        <v>0.07999999999999996</v>
      </c>
      <c r="V17" s="127">
        <f t="shared" si="1"/>
        <v>0.040000000000000036</v>
      </c>
      <c r="W17" s="127">
        <f t="shared" si="1"/>
        <v>0.029999999999999916</v>
      </c>
    </row>
    <row r="18" spans="1:23" ht="12.75">
      <c r="A18" s="130" t="s">
        <v>9</v>
      </c>
      <c r="B18" s="131">
        <v>0.64</v>
      </c>
      <c r="C18" s="125">
        <v>0.6</v>
      </c>
      <c r="D18" s="125">
        <v>0.68</v>
      </c>
      <c r="E18" s="125">
        <v>0.56</v>
      </c>
      <c r="F18" s="125">
        <v>0.65</v>
      </c>
      <c r="G18" s="129">
        <v>0.56</v>
      </c>
      <c r="H18" s="125"/>
      <c r="I18" s="130" t="s">
        <v>9</v>
      </c>
      <c r="J18" s="131">
        <v>0.6</v>
      </c>
      <c r="K18" s="125">
        <v>0.58</v>
      </c>
      <c r="L18" s="125">
        <v>0.63</v>
      </c>
      <c r="M18" s="125">
        <v>0.52</v>
      </c>
      <c r="N18" s="125">
        <v>0.59</v>
      </c>
      <c r="O18" s="129">
        <v>0.53</v>
      </c>
      <c r="P18" s="158"/>
      <c r="Q18" s="128" t="str">
        <f t="shared" si="0"/>
        <v>EDT/s</v>
      </c>
      <c r="R18" s="127">
        <f t="shared" si="1"/>
        <v>0.040000000000000036</v>
      </c>
      <c r="S18" s="127">
        <f t="shared" si="1"/>
        <v>0.020000000000000018</v>
      </c>
      <c r="T18" s="127">
        <f t="shared" si="1"/>
        <v>0.050000000000000044</v>
      </c>
      <c r="U18" s="127">
        <f t="shared" si="1"/>
        <v>0.040000000000000036</v>
      </c>
      <c r="V18" s="127">
        <f t="shared" si="1"/>
        <v>0.06000000000000005</v>
      </c>
      <c r="W18" s="127">
        <f t="shared" si="1"/>
        <v>0.030000000000000027</v>
      </c>
    </row>
    <row r="19" spans="1:23" ht="12.75">
      <c r="A19" s="130" t="s">
        <v>10</v>
      </c>
      <c r="B19" s="131">
        <v>68</v>
      </c>
      <c r="C19" s="125">
        <v>71</v>
      </c>
      <c r="D19" s="125">
        <v>66</v>
      </c>
      <c r="E19" s="125">
        <v>73</v>
      </c>
      <c r="F19" s="125">
        <v>68</v>
      </c>
      <c r="G19" s="129">
        <v>74</v>
      </c>
      <c r="H19" s="125"/>
      <c r="I19" s="130" t="s">
        <v>10</v>
      </c>
      <c r="J19" s="131">
        <v>73</v>
      </c>
      <c r="K19" s="125">
        <v>73</v>
      </c>
      <c r="L19" s="125">
        <v>68</v>
      </c>
      <c r="M19" s="125">
        <v>76</v>
      </c>
      <c r="N19" s="125">
        <v>71</v>
      </c>
      <c r="O19" s="129">
        <v>74</v>
      </c>
      <c r="P19" s="158"/>
      <c r="Q19" s="128" t="str">
        <f t="shared" si="0"/>
        <v>D/%</v>
      </c>
      <c r="R19" s="127">
        <f t="shared" si="1"/>
        <v>-5</v>
      </c>
      <c r="S19" s="127">
        <f t="shared" si="1"/>
        <v>-2</v>
      </c>
      <c r="T19" s="127">
        <f t="shared" si="1"/>
        <v>-2</v>
      </c>
      <c r="U19" s="127">
        <f t="shared" si="1"/>
        <v>-3</v>
      </c>
      <c r="V19" s="127">
        <f t="shared" si="1"/>
        <v>-3</v>
      </c>
      <c r="W19" s="127">
        <f t="shared" si="1"/>
        <v>0</v>
      </c>
    </row>
    <row r="20" spans="1:23" ht="12.75">
      <c r="A20" s="130" t="s">
        <v>11</v>
      </c>
      <c r="B20" s="131">
        <v>7.1</v>
      </c>
      <c r="C20" s="125">
        <v>7.6</v>
      </c>
      <c r="D20" s="125">
        <v>6.4</v>
      </c>
      <c r="E20" s="125">
        <v>8</v>
      </c>
      <c r="F20" s="125">
        <v>6.9</v>
      </c>
      <c r="G20" s="129">
        <v>8.4</v>
      </c>
      <c r="H20" s="125"/>
      <c r="I20" s="130" t="s">
        <v>11</v>
      </c>
      <c r="J20" s="131">
        <v>7.9</v>
      </c>
      <c r="K20" s="125">
        <v>7.9</v>
      </c>
      <c r="L20" s="125">
        <v>7.2</v>
      </c>
      <c r="M20" s="125">
        <v>8.9</v>
      </c>
      <c r="N20" s="125">
        <v>8</v>
      </c>
      <c r="O20" s="129">
        <v>8.7</v>
      </c>
      <c r="P20" s="158"/>
      <c r="Q20" s="128" t="str">
        <f t="shared" si="0"/>
        <v>C/dB</v>
      </c>
      <c r="R20" s="127">
        <f t="shared" si="1"/>
        <v>-0.8000000000000007</v>
      </c>
      <c r="S20" s="127">
        <f t="shared" si="1"/>
        <v>-0.3000000000000007</v>
      </c>
      <c r="T20" s="127">
        <f t="shared" si="1"/>
        <v>-0.7999999999999998</v>
      </c>
      <c r="U20" s="127">
        <f t="shared" si="1"/>
        <v>-0.9000000000000004</v>
      </c>
      <c r="V20" s="127">
        <f t="shared" si="1"/>
        <v>-1.0999999999999996</v>
      </c>
      <c r="W20" s="127">
        <f t="shared" si="1"/>
        <v>-0.29999999999999893</v>
      </c>
    </row>
    <row r="21" spans="1:23" ht="12.75">
      <c r="A21" s="130" t="s">
        <v>12</v>
      </c>
      <c r="B21" s="131">
        <v>40</v>
      </c>
      <c r="C21" s="125">
        <v>35</v>
      </c>
      <c r="D21" s="125">
        <v>45</v>
      </c>
      <c r="E21" s="125">
        <v>34</v>
      </c>
      <c r="F21" s="125">
        <v>41</v>
      </c>
      <c r="G21" s="129">
        <v>34</v>
      </c>
      <c r="H21" s="125"/>
      <c r="I21" s="130" t="s">
        <v>12</v>
      </c>
      <c r="J21" s="131">
        <v>37</v>
      </c>
      <c r="K21" s="125">
        <v>33</v>
      </c>
      <c r="L21" s="125">
        <v>42</v>
      </c>
      <c r="M21" s="125">
        <v>32</v>
      </c>
      <c r="N21" s="125">
        <v>38</v>
      </c>
      <c r="O21" s="129">
        <v>33</v>
      </c>
      <c r="P21" s="158"/>
      <c r="Q21" s="128" t="str">
        <f t="shared" si="0"/>
        <v>TS/ms</v>
      </c>
      <c r="R21" s="127">
        <f t="shared" si="1"/>
        <v>3</v>
      </c>
      <c r="S21" s="127">
        <f t="shared" si="1"/>
        <v>2</v>
      </c>
      <c r="T21" s="127">
        <f t="shared" si="1"/>
        <v>3</v>
      </c>
      <c r="U21" s="127">
        <f t="shared" si="1"/>
        <v>2</v>
      </c>
      <c r="V21" s="127">
        <f t="shared" si="1"/>
        <v>3</v>
      </c>
      <c r="W21" s="127">
        <f t="shared" si="1"/>
        <v>1</v>
      </c>
    </row>
    <row r="22" spans="1:23" ht="12.75">
      <c r="A22" s="130" t="s">
        <v>13</v>
      </c>
      <c r="B22" s="131">
        <v>15.5</v>
      </c>
      <c r="C22" s="125">
        <v>16.1</v>
      </c>
      <c r="D22" s="125">
        <v>15</v>
      </c>
      <c r="E22" s="125">
        <v>16.7</v>
      </c>
      <c r="F22" s="125">
        <v>15.3</v>
      </c>
      <c r="G22" s="129">
        <v>17.1</v>
      </c>
      <c r="H22" s="125"/>
      <c r="I22" s="130" t="s">
        <v>13</v>
      </c>
      <c r="J22" s="131">
        <v>15.9</v>
      </c>
      <c r="K22" s="125">
        <v>16.6</v>
      </c>
      <c r="L22" s="125">
        <v>15.7</v>
      </c>
      <c r="M22" s="125">
        <v>17</v>
      </c>
      <c r="N22" s="125">
        <v>15.9</v>
      </c>
      <c r="O22" s="129">
        <v>17.4</v>
      </c>
      <c r="P22" s="158"/>
      <c r="Q22" s="128" t="str">
        <f t="shared" si="0"/>
        <v>G/dB</v>
      </c>
      <c r="R22" s="127">
        <f t="shared" si="1"/>
        <v>-0.40000000000000036</v>
      </c>
      <c r="S22" s="127">
        <f t="shared" si="1"/>
        <v>-0.5</v>
      </c>
      <c r="T22" s="127">
        <f t="shared" si="1"/>
        <v>-0.6999999999999993</v>
      </c>
      <c r="U22" s="127">
        <f t="shared" si="1"/>
        <v>-0.3000000000000007</v>
      </c>
      <c r="V22" s="127">
        <f t="shared" si="1"/>
        <v>-0.5999999999999996</v>
      </c>
      <c r="W22" s="127">
        <f t="shared" si="1"/>
        <v>-0.29999999999999716</v>
      </c>
    </row>
    <row r="23" spans="1:23" ht="12.75">
      <c r="A23" s="130" t="s">
        <v>14</v>
      </c>
      <c r="B23" s="131">
        <v>26.1</v>
      </c>
      <c r="C23" s="125">
        <v>10.8</v>
      </c>
      <c r="D23" s="125">
        <v>18.5</v>
      </c>
      <c r="E23" s="125">
        <v>12.5</v>
      </c>
      <c r="F23" s="125">
        <v>24.2</v>
      </c>
      <c r="G23" s="129">
        <v>22</v>
      </c>
      <c r="H23" s="125"/>
      <c r="I23" s="130" t="s">
        <v>14</v>
      </c>
      <c r="J23" s="131">
        <v>23.8</v>
      </c>
      <c r="K23" s="125">
        <v>15.5</v>
      </c>
      <c r="L23" s="125">
        <v>20.8</v>
      </c>
      <c r="M23" s="125">
        <v>16</v>
      </c>
      <c r="N23" s="125">
        <v>25.4</v>
      </c>
      <c r="O23" s="129">
        <v>23.2</v>
      </c>
      <c r="Q23" s="128" t="str">
        <f t="shared" si="0"/>
        <v>LF/%</v>
      </c>
      <c r="R23" s="127">
        <f t="shared" si="1"/>
        <v>2.3000000000000007</v>
      </c>
      <c r="S23" s="127">
        <f t="shared" si="1"/>
        <v>-4.699999999999999</v>
      </c>
      <c r="T23" s="127">
        <f t="shared" si="1"/>
        <v>-2.3000000000000007</v>
      </c>
      <c r="U23" s="127">
        <f t="shared" si="1"/>
        <v>-3.5</v>
      </c>
      <c r="V23" s="127">
        <f t="shared" si="1"/>
        <v>-1.1999999999999993</v>
      </c>
      <c r="W23" s="127">
        <f t="shared" si="1"/>
        <v>-1.1999999999999993</v>
      </c>
    </row>
    <row r="24" spans="1:23" ht="12.75">
      <c r="A24" s="130" t="s">
        <v>15</v>
      </c>
      <c r="B24" s="131"/>
      <c r="C24" s="125"/>
      <c r="D24" s="125"/>
      <c r="E24" s="125"/>
      <c r="F24" s="125"/>
      <c r="G24" s="129"/>
      <c r="H24" s="125"/>
      <c r="I24" s="130" t="s">
        <v>15</v>
      </c>
      <c r="J24" s="131"/>
      <c r="K24" s="125"/>
      <c r="L24" s="125"/>
      <c r="M24" s="125"/>
      <c r="N24" s="125"/>
      <c r="O24" s="129"/>
      <c r="Q24" s="128" t="str">
        <f t="shared" si="0"/>
        <v>LFC/%</v>
      </c>
      <c r="R24" s="127">
        <f t="shared" si="1"/>
        <v>0</v>
      </c>
      <c r="S24" s="127">
        <f t="shared" si="1"/>
        <v>0</v>
      </c>
      <c r="T24" s="127">
        <f t="shared" si="1"/>
        <v>0</v>
      </c>
      <c r="U24" s="127">
        <f t="shared" si="1"/>
        <v>0</v>
      </c>
      <c r="V24" s="127">
        <f t="shared" si="1"/>
        <v>0</v>
      </c>
      <c r="W24" s="127">
        <f t="shared" si="1"/>
        <v>0</v>
      </c>
    </row>
    <row r="25" spans="1:23" ht="12.75">
      <c r="A25" s="134" t="s">
        <v>16</v>
      </c>
      <c r="B25" s="135"/>
      <c r="C25" s="132"/>
      <c r="D25" s="132"/>
      <c r="E25" s="132"/>
      <c r="F25" s="132"/>
      <c r="G25" s="133"/>
      <c r="H25" s="125"/>
      <c r="I25" s="134" t="s">
        <v>16</v>
      </c>
      <c r="J25" s="135"/>
      <c r="K25" s="132"/>
      <c r="L25" s="132"/>
      <c r="M25" s="132"/>
      <c r="N25" s="132"/>
      <c r="O25" s="133"/>
      <c r="Q25" s="128" t="str">
        <f t="shared" si="0"/>
        <v>IACC</v>
      </c>
      <c r="R25" s="127">
        <f t="shared" si="1"/>
        <v>0</v>
      </c>
      <c r="S25" s="127">
        <f t="shared" si="1"/>
        <v>0</v>
      </c>
      <c r="T25" s="127">
        <f t="shared" si="1"/>
        <v>0</v>
      </c>
      <c r="U25" s="127">
        <f t="shared" si="1"/>
        <v>0</v>
      </c>
      <c r="V25" s="127">
        <f t="shared" si="1"/>
        <v>0</v>
      </c>
      <c r="W25" s="127">
        <f t="shared" si="1"/>
        <v>0</v>
      </c>
    </row>
    <row r="26" spans="5:15" ht="12.75">
      <c r="E26" s="136"/>
      <c r="F26" s="136"/>
      <c r="G26" s="136"/>
      <c r="H26" s="136"/>
      <c r="M26" s="136"/>
      <c r="N26" s="136"/>
      <c r="O26" s="136"/>
    </row>
    <row r="27" spans="1:18" ht="12.75">
      <c r="A27" s="155" t="s">
        <v>17</v>
      </c>
      <c r="B27" s="156" t="s">
        <v>1</v>
      </c>
      <c r="E27" s="136"/>
      <c r="F27" s="136"/>
      <c r="G27" s="136"/>
      <c r="H27" s="136"/>
      <c r="I27" s="155" t="s">
        <v>17</v>
      </c>
      <c r="J27" s="156" t="s">
        <v>1</v>
      </c>
      <c r="M27" s="136"/>
      <c r="N27" s="136"/>
      <c r="O27" s="136"/>
      <c r="Q27" s="128" t="str">
        <f>+A27</f>
        <v>250 Hz</v>
      </c>
      <c r="R27" s="128" t="str">
        <f>+B27</f>
        <v>octave</v>
      </c>
    </row>
    <row r="28" spans="1:23" ht="12.75">
      <c r="A28" s="142"/>
      <c r="B28" s="140" t="s">
        <v>2</v>
      </c>
      <c r="C28" s="140" t="s">
        <v>3</v>
      </c>
      <c r="D28" s="139" t="s">
        <v>4</v>
      </c>
      <c r="E28" s="139" t="s">
        <v>5</v>
      </c>
      <c r="F28" s="140" t="s">
        <v>6</v>
      </c>
      <c r="G28" s="139" t="s">
        <v>7</v>
      </c>
      <c r="H28" s="141"/>
      <c r="I28" s="142"/>
      <c r="J28" s="140" t="s">
        <v>2</v>
      </c>
      <c r="K28" s="140" t="s">
        <v>3</v>
      </c>
      <c r="L28" s="139" t="s">
        <v>4</v>
      </c>
      <c r="M28" s="139" t="s">
        <v>5</v>
      </c>
      <c r="N28" s="140" t="s">
        <v>6</v>
      </c>
      <c r="O28" s="139" t="s">
        <v>7</v>
      </c>
      <c r="Q28" s="128">
        <f>+A28</f>
        <v>0</v>
      </c>
      <c r="R28" s="128" t="str">
        <f>+B28</f>
        <v>S1R1</v>
      </c>
      <c r="S28" s="128" t="str">
        <f>+C28</f>
        <v>S1R2</v>
      </c>
      <c r="T28" s="128" t="str">
        <f>+D28</f>
        <v>S1R3</v>
      </c>
      <c r="U28" s="128" t="str">
        <f>+E28</f>
        <v>S2R1</v>
      </c>
      <c r="V28" s="128" t="str">
        <f>+F28</f>
        <v>S2R2</v>
      </c>
      <c r="W28" s="128" t="str">
        <f>+G28</f>
        <v>S2R3</v>
      </c>
    </row>
    <row r="29" spans="1:23" ht="12.75">
      <c r="A29" s="130" t="s">
        <v>8</v>
      </c>
      <c r="B29" s="145">
        <v>0.92</v>
      </c>
      <c r="C29" s="143">
        <v>0.93</v>
      </c>
      <c r="D29" s="143">
        <v>0.94</v>
      </c>
      <c r="E29" s="125">
        <v>0.98</v>
      </c>
      <c r="F29" s="143">
        <v>1.15</v>
      </c>
      <c r="G29" s="144">
        <v>0.99</v>
      </c>
      <c r="H29" s="125"/>
      <c r="I29" s="130" t="s">
        <v>8</v>
      </c>
      <c r="J29" s="145">
        <v>0.77</v>
      </c>
      <c r="K29" s="143">
        <v>0.86</v>
      </c>
      <c r="L29" s="143">
        <v>0.8</v>
      </c>
      <c r="M29" s="125">
        <v>0.79</v>
      </c>
      <c r="N29" s="143">
        <v>0.91</v>
      </c>
      <c r="O29" s="144">
        <v>0.86</v>
      </c>
      <c r="Q29" s="128" t="str">
        <f aca="true" t="shared" si="2" ref="Q29:Q37">+A29</f>
        <v>T30/s</v>
      </c>
      <c r="R29" s="127">
        <f aca="true" t="shared" si="3" ref="R29:W37">+B29-J29</f>
        <v>0.15000000000000002</v>
      </c>
      <c r="S29" s="127">
        <f t="shared" si="3"/>
        <v>0.07000000000000006</v>
      </c>
      <c r="T29" s="127">
        <f t="shared" si="3"/>
        <v>0.1399999999999999</v>
      </c>
      <c r="U29" s="127">
        <f t="shared" si="3"/>
        <v>0.18999999999999995</v>
      </c>
      <c r="V29" s="127">
        <f t="shared" si="3"/>
        <v>0.23999999999999988</v>
      </c>
      <c r="W29" s="127">
        <f t="shared" si="3"/>
        <v>0.13</v>
      </c>
    </row>
    <row r="30" spans="1:23" ht="12.75">
      <c r="A30" s="130" t="s">
        <v>9</v>
      </c>
      <c r="B30" s="131">
        <v>1.05</v>
      </c>
      <c r="C30" s="125">
        <v>1.04</v>
      </c>
      <c r="D30" s="125">
        <v>1.15</v>
      </c>
      <c r="E30" s="125">
        <v>0.96</v>
      </c>
      <c r="F30" s="125">
        <v>1.08</v>
      </c>
      <c r="G30" s="129">
        <v>0.97</v>
      </c>
      <c r="H30" s="125"/>
      <c r="I30" s="130" t="s">
        <v>9</v>
      </c>
      <c r="J30" s="131">
        <v>0.87</v>
      </c>
      <c r="K30" s="125">
        <v>0.86</v>
      </c>
      <c r="L30" s="125">
        <v>0.95</v>
      </c>
      <c r="M30" s="125">
        <v>0.82</v>
      </c>
      <c r="N30" s="125">
        <v>0.89</v>
      </c>
      <c r="O30" s="129">
        <v>0.83</v>
      </c>
      <c r="Q30" s="128" t="str">
        <f t="shared" si="2"/>
        <v>EDT/s</v>
      </c>
      <c r="R30" s="127">
        <f t="shared" si="3"/>
        <v>0.18000000000000005</v>
      </c>
      <c r="S30" s="127">
        <f t="shared" si="3"/>
        <v>0.18000000000000005</v>
      </c>
      <c r="T30" s="127">
        <f t="shared" si="3"/>
        <v>0.19999999999999996</v>
      </c>
      <c r="U30" s="127">
        <f t="shared" si="3"/>
        <v>0.14</v>
      </c>
      <c r="V30" s="127">
        <f t="shared" si="3"/>
        <v>0.19000000000000006</v>
      </c>
      <c r="W30" s="127">
        <f t="shared" si="3"/>
        <v>0.14</v>
      </c>
    </row>
    <row r="31" spans="1:23" ht="12.75">
      <c r="A31" s="130" t="s">
        <v>10</v>
      </c>
      <c r="B31" s="131">
        <v>48</v>
      </c>
      <c r="C31" s="125">
        <v>51</v>
      </c>
      <c r="D31" s="125">
        <v>44</v>
      </c>
      <c r="E31" s="125">
        <v>53</v>
      </c>
      <c r="F31" s="125">
        <v>47</v>
      </c>
      <c r="G31" s="129">
        <v>54</v>
      </c>
      <c r="H31" s="125"/>
      <c r="I31" s="130" t="s">
        <v>10</v>
      </c>
      <c r="J31" s="131">
        <v>59</v>
      </c>
      <c r="K31" s="125">
        <v>58</v>
      </c>
      <c r="L31" s="125">
        <v>52</v>
      </c>
      <c r="M31" s="125">
        <v>62</v>
      </c>
      <c r="N31" s="125">
        <v>55</v>
      </c>
      <c r="O31" s="129">
        <v>59</v>
      </c>
      <c r="Q31" s="128" t="str">
        <f t="shared" si="2"/>
        <v>D/%</v>
      </c>
      <c r="R31" s="127">
        <f t="shared" si="3"/>
        <v>-11</v>
      </c>
      <c r="S31" s="127">
        <f t="shared" si="3"/>
        <v>-7</v>
      </c>
      <c r="T31" s="127">
        <f t="shared" si="3"/>
        <v>-8</v>
      </c>
      <c r="U31" s="127">
        <f t="shared" si="3"/>
        <v>-9</v>
      </c>
      <c r="V31" s="127">
        <f t="shared" si="3"/>
        <v>-8</v>
      </c>
      <c r="W31" s="127">
        <f t="shared" si="3"/>
        <v>-5</v>
      </c>
    </row>
    <row r="32" spans="1:23" ht="12.75">
      <c r="A32" s="130" t="s">
        <v>11</v>
      </c>
      <c r="B32" s="131">
        <v>2.7</v>
      </c>
      <c r="C32" s="125">
        <v>3.1</v>
      </c>
      <c r="D32" s="125">
        <v>2</v>
      </c>
      <c r="E32" s="125">
        <v>3.4</v>
      </c>
      <c r="F32" s="125">
        <v>2.4</v>
      </c>
      <c r="G32" s="129">
        <v>3.6</v>
      </c>
      <c r="H32" s="125"/>
      <c r="I32" s="130" t="s">
        <v>11</v>
      </c>
      <c r="J32" s="131">
        <v>4.4</v>
      </c>
      <c r="K32" s="125">
        <v>4.4</v>
      </c>
      <c r="L32" s="125">
        <v>3.6</v>
      </c>
      <c r="M32" s="125">
        <v>5.2</v>
      </c>
      <c r="N32" s="125">
        <v>4.3</v>
      </c>
      <c r="O32" s="129">
        <v>4.7</v>
      </c>
      <c r="Q32" s="128" t="str">
        <f t="shared" si="2"/>
        <v>C/dB</v>
      </c>
      <c r="R32" s="127">
        <f t="shared" si="3"/>
        <v>-1.7000000000000002</v>
      </c>
      <c r="S32" s="127">
        <f t="shared" si="3"/>
        <v>-1.3000000000000003</v>
      </c>
      <c r="T32" s="127">
        <f t="shared" si="3"/>
        <v>-1.6</v>
      </c>
      <c r="U32" s="127">
        <f t="shared" si="3"/>
        <v>-1.8000000000000003</v>
      </c>
      <c r="V32" s="127">
        <f t="shared" si="3"/>
        <v>-1.9</v>
      </c>
      <c r="W32" s="127">
        <f t="shared" si="3"/>
        <v>-1.1</v>
      </c>
    </row>
    <row r="33" spans="1:23" ht="12.75">
      <c r="A33" s="130" t="s">
        <v>12</v>
      </c>
      <c r="B33" s="131">
        <v>73</v>
      </c>
      <c r="C33" s="125">
        <v>69</v>
      </c>
      <c r="D33" s="125">
        <v>80</v>
      </c>
      <c r="E33" s="125">
        <v>65</v>
      </c>
      <c r="F33" s="125">
        <v>76</v>
      </c>
      <c r="G33" s="129">
        <v>65</v>
      </c>
      <c r="H33" s="125"/>
      <c r="I33" s="130" t="s">
        <v>12</v>
      </c>
      <c r="J33" s="131">
        <v>58</v>
      </c>
      <c r="K33" s="125">
        <v>56</v>
      </c>
      <c r="L33" s="125">
        <v>66</v>
      </c>
      <c r="M33" s="125">
        <v>53</v>
      </c>
      <c r="N33" s="125">
        <v>61</v>
      </c>
      <c r="O33" s="129">
        <v>55</v>
      </c>
      <c r="Q33" s="128" t="str">
        <f t="shared" si="2"/>
        <v>TS/ms</v>
      </c>
      <c r="R33" s="127">
        <f t="shared" si="3"/>
        <v>15</v>
      </c>
      <c r="S33" s="127">
        <f t="shared" si="3"/>
        <v>13</v>
      </c>
      <c r="T33" s="127">
        <f t="shared" si="3"/>
        <v>14</v>
      </c>
      <c r="U33" s="127">
        <f t="shared" si="3"/>
        <v>12</v>
      </c>
      <c r="V33" s="127">
        <f t="shared" si="3"/>
        <v>15</v>
      </c>
      <c r="W33" s="127">
        <f t="shared" si="3"/>
        <v>10</v>
      </c>
    </row>
    <row r="34" spans="1:23" ht="12.75">
      <c r="A34" s="130" t="s">
        <v>13</v>
      </c>
      <c r="B34" s="131">
        <v>18.3</v>
      </c>
      <c r="C34" s="125">
        <v>18.6</v>
      </c>
      <c r="D34" s="125">
        <v>18</v>
      </c>
      <c r="E34" s="125">
        <v>19</v>
      </c>
      <c r="F34" s="125">
        <v>18.3</v>
      </c>
      <c r="G34" s="129">
        <v>19.4</v>
      </c>
      <c r="H34" s="125"/>
      <c r="I34" s="130" t="s">
        <v>13</v>
      </c>
      <c r="J34" s="131">
        <v>18</v>
      </c>
      <c r="K34" s="125">
        <v>18.6</v>
      </c>
      <c r="L34" s="125">
        <v>17.9</v>
      </c>
      <c r="M34" s="125">
        <v>18.9</v>
      </c>
      <c r="N34" s="125">
        <v>18.2</v>
      </c>
      <c r="O34" s="129">
        <v>19.3</v>
      </c>
      <c r="Q34" s="128" t="str">
        <f t="shared" si="2"/>
        <v>G/dB</v>
      </c>
      <c r="R34" s="127">
        <f t="shared" si="3"/>
        <v>0.3000000000000007</v>
      </c>
      <c r="S34" s="127">
        <f t="shared" si="3"/>
        <v>0</v>
      </c>
      <c r="T34" s="127">
        <f t="shared" si="3"/>
        <v>0.10000000000000142</v>
      </c>
      <c r="U34" s="127">
        <f t="shared" si="3"/>
        <v>0.10000000000000142</v>
      </c>
      <c r="V34" s="127">
        <f t="shared" si="3"/>
        <v>0.10000000000000142</v>
      </c>
      <c r="W34" s="127">
        <f t="shared" si="3"/>
        <v>0.09999999999999787</v>
      </c>
    </row>
    <row r="35" spans="1:23" ht="12.75">
      <c r="A35" s="130" t="s">
        <v>14</v>
      </c>
      <c r="B35" s="131">
        <v>29.3</v>
      </c>
      <c r="C35" s="125">
        <v>15.6</v>
      </c>
      <c r="D35" s="125">
        <v>21.4</v>
      </c>
      <c r="E35" s="125">
        <v>17.4</v>
      </c>
      <c r="F35" s="125">
        <v>28.1</v>
      </c>
      <c r="G35" s="129">
        <v>24.7</v>
      </c>
      <c r="H35" s="125"/>
      <c r="I35" s="130" t="s">
        <v>14</v>
      </c>
      <c r="J35" s="131">
        <v>24.9</v>
      </c>
      <c r="K35" s="125">
        <v>20.3</v>
      </c>
      <c r="L35" s="125">
        <v>24</v>
      </c>
      <c r="M35" s="125">
        <v>21.1</v>
      </c>
      <c r="N35" s="125">
        <v>26.5</v>
      </c>
      <c r="O35" s="129">
        <v>25.4</v>
      </c>
      <c r="Q35" s="128" t="str">
        <f t="shared" si="2"/>
        <v>LF/%</v>
      </c>
      <c r="R35" s="127">
        <f t="shared" si="3"/>
        <v>4.400000000000002</v>
      </c>
      <c r="S35" s="127">
        <f t="shared" si="3"/>
        <v>-4.700000000000001</v>
      </c>
      <c r="T35" s="127">
        <f t="shared" si="3"/>
        <v>-2.6000000000000014</v>
      </c>
      <c r="U35" s="127">
        <f t="shared" si="3"/>
        <v>-3.700000000000003</v>
      </c>
      <c r="V35" s="127">
        <f t="shared" si="3"/>
        <v>1.6000000000000014</v>
      </c>
      <c r="W35" s="127">
        <f t="shared" si="3"/>
        <v>-0.6999999999999993</v>
      </c>
    </row>
    <row r="36" spans="1:23" ht="12.75">
      <c r="A36" s="130" t="s">
        <v>15</v>
      </c>
      <c r="B36" s="131"/>
      <c r="C36" s="125"/>
      <c r="D36" s="125"/>
      <c r="E36" s="125"/>
      <c r="F36" s="125"/>
      <c r="G36" s="129"/>
      <c r="H36" s="125"/>
      <c r="I36" s="130" t="s">
        <v>15</v>
      </c>
      <c r="J36" s="131"/>
      <c r="K36" s="125"/>
      <c r="L36" s="125"/>
      <c r="M36" s="125"/>
      <c r="N36" s="125"/>
      <c r="O36" s="129"/>
      <c r="Q36" s="128" t="str">
        <f t="shared" si="2"/>
        <v>LFC/%</v>
      </c>
      <c r="R36" s="127">
        <f t="shared" si="3"/>
        <v>0</v>
      </c>
      <c r="S36" s="127">
        <f t="shared" si="3"/>
        <v>0</v>
      </c>
      <c r="T36" s="127">
        <f t="shared" si="3"/>
        <v>0</v>
      </c>
      <c r="U36" s="127">
        <f t="shared" si="3"/>
        <v>0</v>
      </c>
      <c r="V36" s="127">
        <f t="shared" si="3"/>
        <v>0</v>
      </c>
      <c r="W36" s="127">
        <f t="shared" si="3"/>
        <v>0</v>
      </c>
    </row>
    <row r="37" spans="1:23" ht="12.75">
      <c r="A37" s="134" t="s">
        <v>16</v>
      </c>
      <c r="B37" s="135"/>
      <c r="C37" s="132"/>
      <c r="D37" s="132"/>
      <c r="E37" s="132"/>
      <c r="F37" s="132"/>
      <c r="G37" s="133"/>
      <c r="H37" s="125"/>
      <c r="I37" s="134" t="s">
        <v>16</v>
      </c>
      <c r="J37" s="135"/>
      <c r="K37" s="132"/>
      <c r="L37" s="132"/>
      <c r="M37" s="132"/>
      <c r="N37" s="132"/>
      <c r="O37" s="133"/>
      <c r="Q37" s="128" t="str">
        <f t="shared" si="2"/>
        <v>IACC</v>
      </c>
      <c r="R37" s="127">
        <f t="shared" si="3"/>
        <v>0</v>
      </c>
      <c r="S37" s="127">
        <f t="shared" si="3"/>
        <v>0</v>
      </c>
      <c r="T37" s="127">
        <f t="shared" si="3"/>
        <v>0</v>
      </c>
      <c r="U37" s="127">
        <f t="shared" si="3"/>
        <v>0</v>
      </c>
      <c r="V37" s="127">
        <f t="shared" si="3"/>
        <v>0</v>
      </c>
      <c r="W37" s="127">
        <f t="shared" si="3"/>
        <v>0</v>
      </c>
    </row>
    <row r="38" spans="5:15" ht="12.75">
      <c r="E38" s="136"/>
      <c r="F38" s="136"/>
      <c r="G38" s="136"/>
      <c r="H38" s="136"/>
      <c r="M38" s="136"/>
      <c r="N38" s="136"/>
      <c r="O38" s="136"/>
    </row>
    <row r="39" spans="1:18" ht="12.75">
      <c r="A39" s="155" t="s">
        <v>18</v>
      </c>
      <c r="B39" s="156" t="s">
        <v>1</v>
      </c>
      <c r="E39" s="136"/>
      <c r="F39" s="136"/>
      <c r="G39" s="136"/>
      <c r="H39" s="136"/>
      <c r="I39" s="155" t="s">
        <v>18</v>
      </c>
      <c r="J39" s="156" t="s">
        <v>1</v>
      </c>
      <c r="M39" s="136"/>
      <c r="N39" s="136"/>
      <c r="O39" s="136"/>
      <c r="Q39" s="128" t="str">
        <f>+A39</f>
        <v>500 Hz</v>
      </c>
      <c r="R39" s="128" t="str">
        <f>+B39</f>
        <v>octave</v>
      </c>
    </row>
    <row r="40" spans="1:23" ht="12.75">
      <c r="A40" s="142"/>
      <c r="B40" s="140" t="s">
        <v>2</v>
      </c>
      <c r="C40" s="140" t="s">
        <v>3</v>
      </c>
      <c r="D40" s="139" t="s">
        <v>4</v>
      </c>
      <c r="E40" s="139" t="s">
        <v>5</v>
      </c>
      <c r="F40" s="140" t="s">
        <v>6</v>
      </c>
      <c r="G40" s="139" t="s">
        <v>7</v>
      </c>
      <c r="H40" s="141"/>
      <c r="I40" s="142"/>
      <c r="J40" s="140" t="s">
        <v>2</v>
      </c>
      <c r="K40" s="140" t="s">
        <v>3</v>
      </c>
      <c r="L40" s="139" t="s">
        <v>4</v>
      </c>
      <c r="M40" s="139" t="s">
        <v>5</v>
      </c>
      <c r="N40" s="140" t="s">
        <v>6</v>
      </c>
      <c r="O40" s="139" t="s">
        <v>7</v>
      </c>
      <c r="Q40" s="128">
        <f>+A40</f>
        <v>0</v>
      </c>
      <c r="R40" s="128" t="str">
        <f>+B40</f>
        <v>S1R1</v>
      </c>
      <c r="S40" s="128" t="str">
        <f>+C40</f>
        <v>S1R2</v>
      </c>
      <c r="T40" s="128" t="str">
        <f>+D40</f>
        <v>S1R3</v>
      </c>
      <c r="U40" s="128" t="str">
        <f>+E40</f>
        <v>S2R1</v>
      </c>
      <c r="V40" s="128" t="str">
        <f>+F40</f>
        <v>S2R2</v>
      </c>
      <c r="W40" s="128" t="str">
        <f>+G40</f>
        <v>S2R3</v>
      </c>
    </row>
    <row r="41" spans="1:23" ht="12.75">
      <c r="A41" s="130" t="s">
        <v>8</v>
      </c>
      <c r="B41" s="145">
        <v>1.08</v>
      </c>
      <c r="C41" s="143">
        <v>1.27</v>
      </c>
      <c r="D41" s="143">
        <v>1.12</v>
      </c>
      <c r="E41" s="125">
        <v>1.12</v>
      </c>
      <c r="F41" s="143">
        <v>1.19</v>
      </c>
      <c r="G41" s="144">
        <v>1.08</v>
      </c>
      <c r="H41" s="125"/>
      <c r="I41" s="130" t="s">
        <v>8</v>
      </c>
      <c r="J41" s="145">
        <v>0.92</v>
      </c>
      <c r="K41" s="143">
        <v>0.97</v>
      </c>
      <c r="L41" s="143">
        <v>0.87</v>
      </c>
      <c r="M41" s="125">
        <v>0.99</v>
      </c>
      <c r="N41" s="143">
        <v>0.9</v>
      </c>
      <c r="O41" s="144">
        <v>0.85</v>
      </c>
      <c r="Q41" s="128" t="str">
        <f aca="true" t="shared" si="4" ref="Q41:Q49">+A41</f>
        <v>T30/s</v>
      </c>
      <c r="R41" s="127">
        <f aca="true" t="shared" si="5" ref="R41:W49">+B41-J41</f>
        <v>0.16000000000000003</v>
      </c>
      <c r="S41" s="127">
        <f t="shared" si="5"/>
        <v>0.30000000000000004</v>
      </c>
      <c r="T41" s="127">
        <f t="shared" si="5"/>
        <v>0.2500000000000001</v>
      </c>
      <c r="U41" s="127">
        <f t="shared" si="5"/>
        <v>0.13000000000000012</v>
      </c>
      <c r="V41" s="127">
        <f t="shared" si="5"/>
        <v>0.2899999999999999</v>
      </c>
      <c r="W41" s="127">
        <f t="shared" si="5"/>
        <v>0.2300000000000001</v>
      </c>
    </row>
    <row r="42" spans="1:23" ht="12.75">
      <c r="A42" s="130" t="s">
        <v>9</v>
      </c>
      <c r="B42" s="131">
        <v>1.2</v>
      </c>
      <c r="C42" s="125">
        <v>1.16</v>
      </c>
      <c r="D42" s="125">
        <v>1.25</v>
      </c>
      <c r="E42" s="125">
        <v>1.07</v>
      </c>
      <c r="F42" s="125">
        <v>1.22</v>
      </c>
      <c r="G42" s="129">
        <v>1.12</v>
      </c>
      <c r="H42" s="125"/>
      <c r="I42" s="130" t="s">
        <v>9</v>
      </c>
      <c r="J42" s="131">
        <v>0.95</v>
      </c>
      <c r="K42" s="125">
        <v>0.92</v>
      </c>
      <c r="L42" s="125">
        <v>1.01</v>
      </c>
      <c r="M42" s="125">
        <v>0.89</v>
      </c>
      <c r="N42" s="125">
        <v>0.96</v>
      </c>
      <c r="O42" s="129">
        <v>0.89</v>
      </c>
      <c r="Q42" s="128" t="str">
        <f t="shared" si="4"/>
        <v>EDT/s</v>
      </c>
      <c r="R42" s="127">
        <f t="shared" si="5"/>
        <v>0.25</v>
      </c>
      <c r="S42" s="127">
        <f t="shared" si="5"/>
        <v>0.23999999999999988</v>
      </c>
      <c r="T42" s="127">
        <f t="shared" si="5"/>
        <v>0.24</v>
      </c>
      <c r="U42" s="127">
        <f t="shared" si="5"/>
        <v>0.18000000000000005</v>
      </c>
      <c r="V42" s="127">
        <f t="shared" si="5"/>
        <v>0.26</v>
      </c>
      <c r="W42" s="127">
        <f t="shared" si="5"/>
        <v>0.2300000000000001</v>
      </c>
    </row>
    <row r="43" spans="1:23" ht="12.75">
      <c r="A43" s="130" t="s">
        <v>10</v>
      </c>
      <c r="B43" s="131">
        <v>43</v>
      </c>
      <c r="C43" s="125">
        <v>46</v>
      </c>
      <c r="D43" s="125">
        <v>40</v>
      </c>
      <c r="E43" s="125">
        <v>48</v>
      </c>
      <c r="F43" s="125">
        <v>44</v>
      </c>
      <c r="G43" s="129">
        <v>50</v>
      </c>
      <c r="H43" s="125"/>
      <c r="I43" s="130" t="s">
        <v>10</v>
      </c>
      <c r="J43" s="131">
        <v>56</v>
      </c>
      <c r="K43" s="125">
        <v>56</v>
      </c>
      <c r="L43" s="125">
        <v>49</v>
      </c>
      <c r="M43" s="125">
        <v>58</v>
      </c>
      <c r="N43" s="125">
        <v>53</v>
      </c>
      <c r="O43" s="129">
        <v>56</v>
      </c>
      <c r="Q43" s="128" t="str">
        <f t="shared" si="4"/>
        <v>D/%</v>
      </c>
      <c r="R43" s="127">
        <f t="shared" si="5"/>
        <v>-13</v>
      </c>
      <c r="S43" s="127">
        <f t="shared" si="5"/>
        <v>-10</v>
      </c>
      <c r="T43" s="127">
        <f t="shared" si="5"/>
        <v>-9</v>
      </c>
      <c r="U43" s="127">
        <f t="shared" si="5"/>
        <v>-10</v>
      </c>
      <c r="V43" s="127">
        <f t="shared" si="5"/>
        <v>-9</v>
      </c>
      <c r="W43" s="127">
        <f t="shared" si="5"/>
        <v>-6</v>
      </c>
    </row>
    <row r="44" spans="1:23" ht="12.75">
      <c r="A44" s="130" t="s">
        <v>11</v>
      </c>
      <c r="B44" s="131">
        <v>1.7</v>
      </c>
      <c r="C44" s="125">
        <v>2.3</v>
      </c>
      <c r="D44" s="125">
        <v>1.2</v>
      </c>
      <c r="E44" s="125">
        <v>2.6</v>
      </c>
      <c r="F44" s="125">
        <v>1.7</v>
      </c>
      <c r="G44" s="129">
        <v>2.7</v>
      </c>
      <c r="H44" s="125"/>
      <c r="I44" s="130" t="s">
        <v>11</v>
      </c>
      <c r="J44" s="131">
        <v>3.8</v>
      </c>
      <c r="K44" s="125">
        <v>3.9</v>
      </c>
      <c r="L44" s="125">
        <v>3</v>
      </c>
      <c r="M44" s="125">
        <v>4.5</v>
      </c>
      <c r="N44" s="125">
        <v>3.6</v>
      </c>
      <c r="O44" s="129">
        <v>4</v>
      </c>
      <c r="Q44" s="128" t="str">
        <f t="shared" si="4"/>
        <v>C/dB</v>
      </c>
      <c r="R44" s="127">
        <f t="shared" si="5"/>
        <v>-2.0999999999999996</v>
      </c>
      <c r="S44" s="127">
        <f t="shared" si="5"/>
        <v>-1.6</v>
      </c>
      <c r="T44" s="127">
        <f t="shared" si="5"/>
        <v>-1.8</v>
      </c>
      <c r="U44" s="127">
        <f t="shared" si="5"/>
        <v>-1.9</v>
      </c>
      <c r="V44" s="127">
        <f t="shared" si="5"/>
        <v>-1.9000000000000001</v>
      </c>
      <c r="W44" s="127">
        <f t="shared" si="5"/>
        <v>-1.2999999999999998</v>
      </c>
    </row>
    <row r="45" spans="1:23" ht="12.75">
      <c r="A45" s="130" t="s">
        <v>12</v>
      </c>
      <c r="B45" s="131">
        <v>84</v>
      </c>
      <c r="C45" s="125">
        <v>80</v>
      </c>
      <c r="D45" s="125">
        <v>90</v>
      </c>
      <c r="E45" s="125">
        <v>74</v>
      </c>
      <c r="F45" s="125">
        <v>86</v>
      </c>
      <c r="G45" s="129">
        <v>75</v>
      </c>
      <c r="H45" s="125"/>
      <c r="I45" s="130" t="s">
        <v>12</v>
      </c>
      <c r="J45" s="131">
        <v>64</v>
      </c>
      <c r="K45" s="125">
        <v>61</v>
      </c>
      <c r="L45" s="125">
        <v>71</v>
      </c>
      <c r="M45" s="125">
        <v>58</v>
      </c>
      <c r="N45" s="125">
        <v>66</v>
      </c>
      <c r="O45" s="129">
        <v>61</v>
      </c>
      <c r="Q45" s="128" t="str">
        <f t="shared" si="4"/>
        <v>TS/ms</v>
      </c>
      <c r="R45" s="127">
        <f t="shared" si="5"/>
        <v>20</v>
      </c>
      <c r="S45" s="127">
        <f t="shared" si="5"/>
        <v>19</v>
      </c>
      <c r="T45" s="127">
        <f t="shared" si="5"/>
        <v>19</v>
      </c>
      <c r="U45" s="127">
        <f t="shared" si="5"/>
        <v>16</v>
      </c>
      <c r="V45" s="127">
        <f t="shared" si="5"/>
        <v>20</v>
      </c>
      <c r="W45" s="127">
        <f t="shared" si="5"/>
        <v>14</v>
      </c>
    </row>
    <row r="46" spans="1:23" ht="12.75">
      <c r="A46" s="130" t="s">
        <v>13</v>
      </c>
      <c r="B46" s="131">
        <v>18.9</v>
      </c>
      <c r="C46" s="125">
        <v>19.7</v>
      </c>
      <c r="D46" s="125">
        <v>18.8</v>
      </c>
      <c r="E46" s="125">
        <v>19.5</v>
      </c>
      <c r="F46" s="125">
        <v>19.1</v>
      </c>
      <c r="G46" s="129">
        <v>19.9</v>
      </c>
      <c r="H46" s="125"/>
      <c r="I46" s="130" t="s">
        <v>13</v>
      </c>
      <c r="J46" s="131">
        <v>18.5</v>
      </c>
      <c r="K46" s="125">
        <v>19.6</v>
      </c>
      <c r="L46" s="125">
        <v>18.6</v>
      </c>
      <c r="M46" s="125">
        <v>19.1</v>
      </c>
      <c r="N46" s="125">
        <v>18.8</v>
      </c>
      <c r="O46" s="129">
        <v>19.5</v>
      </c>
      <c r="Q46" s="128" t="str">
        <f t="shared" si="4"/>
        <v>G/dB</v>
      </c>
      <c r="R46" s="127">
        <f t="shared" si="5"/>
        <v>0.3999999999999986</v>
      </c>
      <c r="S46" s="127">
        <f t="shared" si="5"/>
        <v>0.09999999999999787</v>
      </c>
      <c r="T46" s="127">
        <f t="shared" si="5"/>
        <v>0.1999999999999993</v>
      </c>
      <c r="U46" s="127">
        <f t="shared" si="5"/>
        <v>0.3999999999999986</v>
      </c>
      <c r="V46" s="127">
        <f t="shared" si="5"/>
        <v>0.3000000000000007</v>
      </c>
      <c r="W46" s="127">
        <f t="shared" si="5"/>
        <v>0.3999999999999986</v>
      </c>
    </row>
    <row r="47" spans="1:23" ht="12.75">
      <c r="A47" s="130" t="s">
        <v>14</v>
      </c>
      <c r="B47" s="131">
        <v>29.2</v>
      </c>
      <c r="C47" s="125">
        <v>19.4</v>
      </c>
      <c r="D47" s="125">
        <v>23.6</v>
      </c>
      <c r="E47" s="125">
        <v>20.1</v>
      </c>
      <c r="F47" s="125">
        <v>28.1</v>
      </c>
      <c r="G47" s="129">
        <v>26.8</v>
      </c>
      <c r="H47" s="125"/>
      <c r="I47" s="130" t="s">
        <v>14</v>
      </c>
      <c r="J47" s="131">
        <v>24.5</v>
      </c>
      <c r="K47" s="125">
        <v>25.4</v>
      </c>
      <c r="L47" s="125">
        <v>26.7</v>
      </c>
      <c r="M47" s="125">
        <v>22.2</v>
      </c>
      <c r="N47" s="125">
        <v>26.3</v>
      </c>
      <c r="O47" s="129">
        <v>26.4</v>
      </c>
      <c r="Q47" s="128" t="str">
        <f t="shared" si="4"/>
        <v>LF/%</v>
      </c>
      <c r="R47" s="127">
        <f t="shared" si="5"/>
        <v>4.699999999999999</v>
      </c>
      <c r="S47" s="127">
        <f t="shared" si="5"/>
        <v>-6</v>
      </c>
      <c r="T47" s="127">
        <f t="shared" si="5"/>
        <v>-3.099999999999998</v>
      </c>
      <c r="U47" s="127">
        <f t="shared" si="5"/>
        <v>-2.099999999999998</v>
      </c>
      <c r="V47" s="127">
        <f t="shared" si="5"/>
        <v>1.8000000000000007</v>
      </c>
      <c r="W47" s="127">
        <f t="shared" si="5"/>
        <v>0.40000000000000213</v>
      </c>
    </row>
    <row r="48" spans="1:23" ht="12.75">
      <c r="A48" s="130" t="s">
        <v>15</v>
      </c>
      <c r="B48" s="131"/>
      <c r="C48" s="125"/>
      <c r="D48" s="125"/>
      <c r="E48" s="125"/>
      <c r="F48" s="125"/>
      <c r="G48" s="129"/>
      <c r="H48" s="125"/>
      <c r="I48" s="130" t="s">
        <v>15</v>
      </c>
      <c r="J48" s="131"/>
      <c r="K48" s="125"/>
      <c r="L48" s="125"/>
      <c r="M48" s="125"/>
      <c r="N48" s="125"/>
      <c r="O48" s="129"/>
      <c r="Q48" s="128" t="str">
        <f t="shared" si="4"/>
        <v>LFC/%</v>
      </c>
      <c r="R48" s="127">
        <f t="shared" si="5"/>
        <v>0</v>
      </c>
      <c r="S48" s="127">
        <f t="shared" si="5"/>
        <v>0</v>
      </c>
      <c r="T48" s="127">
        <f t="shared" si="5"/>
        <v>0</v>
      </c>
      <c r="U48" s="127">
        <f t="shared" si="5"/>
        <v>0</v>
      </c>
      <c r="V48" s="127">
        <f t="shared" si="5"/>
        <v>0</v>
      </c>
      <c r="W48" s="127">
        <f t="shared" si="5"/>
        <v>0</v>
      </c>
    </row>
    <row r="49" spans="1:23" ht="12.75">
      <c r="A49" s="134" t="s">
        <v>16</v>
      </c>
      <c r="B49" s="135"/>
      <c r="C49" s="132"/>
      <c r="D49" s="132"/>
      <c r="E49" s="132"/>
      <c r="F49" s="132"/>
      <c r="G49" s="133"/>
      <c r="H49" s="125"/>
      <c r="I49" s="134" t="s">
        <v>16</v>
      </c>
      <c r="J49" s="135"/>
      <c r="K49" s="132"/>
      <c r="L49" s="132"/>
      <c r="M49" s="132"/>
      <c r="N49" s="132"/>
      <c r="O49" s="133"/>
      <c r="Q49" s="128" t="str">
        <f t="shared" si="4"/>
        <v>IACC</v>
      </c>
      <c r="R49" s="127">
        <f t="shared" si="5"/>
        <v>0</v>
      </c>
      <c r="S49" s="127">
        <f t="shared" si="5"/>
        <v>0</v>
      </c>
      <c r="T49" s="127">
        <f t="shared" si="5"/>
        <v>0</v>
      </c>
      <c r="U49" s="127">
        <f t="shared" si="5"/>
        <v>0</v>
      </c>
      <c r="V49" s="127">
        <f t="shared" si="5"/>
        <v>0</v>
      </c>
      <c r="W49" s="127">
        <f t="shared" si="5"/>
        <v>0</v>
      </c>
    </row>
    <row r="50" spans="5:23" ht="12.75">
      <c r="E50" s="136"/>
      <c r="F50" s="136"/>
      <c r="G50" s="136"/>
      <c r="H50" s="136"/>
      <c r="M50" s="136"/>
      <c r="N50" s="136"/>
      <c r="O50" s="136"/>
      <c r="R50" s="127"/>
      <c r="S50" s="127"/>
      <c r="T50" s="127"/>
      <c r="U50" s="127"/>
      <c r="V50" s="127"/>
      <c r="W50" s="127"/>
    </row>
    <row r="51" spans="1:18" ht="12.75">
      <c r="A51" s="155" t="s">
        <v>19</v>
      </c>
      <c r="B51" s="156" t="s">
        <v>1</v>
      </c>
      <c r="E51" s="136"/>
      <c r="F51" s="136"/>
      <c r="G51" s="136"/>
      <c r="H51" s="136"/>
      <c r="I51" s="155" t="s">
        <v>19</v>
      </c>
      <c r="J51" s="156" t="s">
        <v>1</v>
      </c>
      <c r="M51" s="136"/>
      <c r="N51" s="136"/>
      <c r="O51" s="136"/>
      <c r="Q51" s="128" t="str">
        <f>+A51</f>
        <v>1000 Hz</v>
      </c>
      <c r="R51" s="128" t="str">
        <f>+B51</f>
        <v>octave</v>
      </c>
    </row>
    <row r="52" spans="1:23" ht="12.75">
      <c r="A52" s="142"/>
      <c r="B52" s="140" t="s">
        <v>2</v>
      </c>
      <c r="C52" s="140" t="s">
        <v>3</v>
      </c>
      <c r="D52" s="139" t="s">
        <v>4</v>
      </c>
      <c r="E52" s="139" t="s">
        <v>5</v>
      </c>
      <c r="F52" s="140" t="s">
        <v>6</v>
      </c>
      <c r="G52" s="139" t="s">
        <v>7</v>
      </c>
      <c r="H52" s="141"/>
      <c r="I52" s="142"/>
      <c r="J52" s="140" t="s">
        <v>2</v>
      </c>
      <c r="K52" s="140" t="s">
        <v>3</v>
      </c>
      <c r="L52" s="139" t="s">
        <v>4</v>
      </c>
      <c r="M52" s="139" t="s">
        <v>5</v>
      </c>
      <c r="N52" s="140" t="s">
        <v>6</v>
      </c>
      <c r="O52" s="139" t="s">
        <v>7</v>
      </c>
      <c r="Q52" s="128">
        <f>+A52</f>
        <v>0</v>
      </c>
      <c r="R52" s="128" t="str">
        <f>+B52</f>
        <v>S1R1</v>
      </c>
      <c r="S52" s="128" t="str">
        <f>+C52</f>
        <v>S1R2</v>
      </c>
      <c r="T52" s="128" t="str">
        <f>+D52</f>
        <v>S1R3</v>
      </c>
      <c r="U52" s="128" t="str">
        <f>+E52</f>
        <v>S2R1</v>
      </c>
      <c r="V52" s="128" t="str">
        <f>+F52</f>
        <v>S2R2</v>
      </c>
      <c r="W52" s="128" t="str">
        <f>+G52</f>
        <v>S2R3</v>
      </c>
    </row>
    <row r="53" spans="1:23" ht="12.75">
      <c r="A53" s="130" t="s">
        <v>8</v>
      </c>
      <c r="B53" s="145">
        <v>0.93</v>
      </c>
      <c r="C53" s="143">
        <v>1.01</v>
      </c>
      <c r="D53" s="143">
        <v>1.05</v>
      </c>
      <c r="E53" s="125">
        <v>1.07</v>
      </c>
      <c r="F53" s="143">
        <v>1.03</v>
      </c>
      <c r="G53" s="144">
        <v>0.96</v>
      </c>
      <c r="H53" s="125"/>
      <c r="I53" s="130" t="s">
        <v>8</v>
      </c>
      <c r="J53" s="145">
        <v>0.75</v>
      </c>
      <c r="K53" s="143">
        <v>0.7</v>
      </c>
      <c r="L53" s="143">
        <v>0.78</v>
      </c>
      <c r="M53" s="125">
        <v>0.75</v>
      </c>
      <c r="N53" s="143">
        <v>0.74</v>
      </c>
      <c r="O53" s="144">
        <v>0.78</v>
      </c>
      <c r="Q53" s="128" t="str">
        <f aca="true" t="shared" si="6" ref="Q53:Q61">+A53</f>
        <v>T30/s</v>
      </c>
      <c r="R53" s="127">
        <f aca="true" t="shared" si="7" ref="R53:W61">+B53-J53</f>
        <v>0.18000000000000005</v>
      </c>
      <c r="S53" s="127">
        <f t="shared" si="7"/>
        <v>0.31000000000000005</v>
      </c>
      <c r="T53" s="127">
        <f t="shared" si="7"/>
        <v>0.27</v>
      </c>
      <c r="U53" s="127">
        <f t="shared" si="7"/>
        <v>0.32000000000000006</v>
      </c>
      <c r="V53" s="127">
        <f t="shared" si="7"/>
        <v>0.29000000000000004</v>
      </c>
      <c r="W53" s="127">
        <f t="shared" si="7"/>
        <v>0.17999999999999994</v>
      </c>
    </row>
    <row r="54" spans="1:23" ht="12.75">
      <c r="A54" s="130" t="s">
        <v>9</v>
      </c>
      <c r="B54" s="131">
        <v>1.04</v>
      </c>
      <c r="C54" s="125">
        <v>0.98</v>
      </c>
      <c r="D54" s="125">
        <v>1.06</v>
      </c>
      <c r="E54" s="125">
        <v>0.9</v>
      </c>
      <c r="F54" s="125">
        <v>1.07</v>
      </c>
      <c r="G54" s="129">
        <v>0.95</v>
      </c>
      <c r="H54" s="125"/>
      <c r="I54" s="130" t="s">
        <v>9</v>
      </c>
      <c r="J54" s="131">
        <v>0.8</v>
      </c>
      <c r="K54" s="125">
        <v>0.76</v>
      </c>
      <c r="L54" s="125">
        <v>0.86</v>
      </c>
      <c r="M54" s="125">
        <v>0.73</v>
      </c>
      <c r="N54" s="125">
        <v>0.81</v>
      </c>
      <c r="O54" s="129">
        <v>0.75</v>
      </c>
      <c r="Q54" s="128" t="str">
        <f t="shared" si="6"/>
        <v>EDT/s</v>
      </c>
      <c r="R54" s="127">
        <f t="shared" si="7"/>
        <v>0.24</v>
      </c>
      <c r="S54" s="127">
        <f t="shared" si="7"/>
        <v>0.21999999999999997</v>
      </c>
      <c r="T54" s="127">
        <f t="shared" si="7"/>
        <v>0.20000000000000007</v>
      </c>
      <c r="U54" s="127">
        <f t="shared" si="7"/>
        <v>0.17000000000000004</v>
      </c>
      <c r="V54" s="127">
        <f t="shared" si="7"/>
        <v>0.26</v>
      </c>
      <c r="W54" s="127">
        <f t="shared" si="7"/>
        <v>0.19999999999999996</v>
      </c>
    </row>
    <row r="55" spans="1:23" ht="12.75">
      <c r="A55" s="130" t="s">
        <v>10</v>
      </c>
      <c r="B55" s="131">
        <v>49</v>
      </c>
      <c r="C55" s="125">
        <v>53</v>
      </c>
      <c r="D55" s="125">
        <v>46</v>
      </c>
      <c r="E55" s="125">
        <v>55</v>
      </c>
      <c r="F55" s="125">
        <v>50</v>
      </c>
      <c r="G55" s="129">
        <v>57</v>
      </c>
      <c r="H55" s="125"/>
      <c r="I55" s="130" t="s">
        <v>10</v>
      </c>
      <c r="J55" s="131">
        <v>63</v>
      </c>
      <c r="K55" s="125">
        <v>64</v>
      </c>
      <c r="L55" s="125">
        <v>57</v>
      </c>
      <c r="M55" s="125">
        <v>65</v>
      </c>
      <c r="N55" s="125">
        <v>60</v>
      </c>
      <c r="O55" s="129">
        <v>63</v>
      </c>
      <c r="Q55" s="128" t="str">
        <f t="shared" si="6"/>
        <v>D/%</v>
      </c>
      <c r="R55" s="127">
        <f t="shared" si="7"/>
        <v>-14</v>
      </c>
      <c r="S55" s="127">
        <f t="shared" si="7"/>
        <v>-11</v>
      </c>
      <c r="T55" s="127">
        <f t="shared" si="7"/>
        <v>-11</v>
      </c>
      <c r="U55" s="127">
        <f t="shared" si="7"/>
        <v>-10</v>
      </c>
      <c r="V55" s="127">
        <f t="shared" si="7"/>
        <v>-10</v>
      </c>
      <c r="W55" s="127">
        <f t="shared" si="7"/>
        <v>-6</v>
      </c>
    </row>
    <row r="56" spans="1:23" ht="12.75">
      <c r="A56" s="130" t="s">
        <v>11</v>
      </c>
      <c r="B56" s="131">
        <v>2.8</v>
      </c>
      <c r="C56" s="125">
        <v>3.6</v>
      </c>
      <c r="D56" s="125">
        <v>2.5</v>
      </c>
      <c r="E56" s="125">
        <v>3.9</v>
      </c>
      <c r="F56" s="125">
        <v>2.9</v>
      </c>
      <c r="G56" s="129">
        <v>3.9</v>
      </c>
      <c r="H56" s="125"/>
      <c r="I56" s="130" t="s">
        <v>11</v>
      </c>
      <c r="J56" s="131">
        <v>5.3</v>
      </c>
      <c r="K56" s="125">
        <v>5.5</v>
      </c>
      <c r="L56" s="125">
        <v>4.6</v>
      </c>
      <c r="M56" s="125">
        <v>6</v>
      </c>
      <c r="N56" s="125">
        <v>5</v>
      </c>
      <c r="O56" s="129">
        <v>5.6</v>
      </c>
      <c r="Q56" s="128" t="str">
        <f t="shared" si="6"/>
        <v>C/dB</v>
      </c>
      <c r="R56" s="127">
        <f t="shared" si="7"/>
        <v>-2.5</v>
      </c>
      <c r="S56" s="127">
        <f t="shared" si="7"/>
        <v>-1.9</v>
      </c>
      <c r="T56" s="127">
        <f t="shared" si="7"/>
        <v>-2.0999999999999996</v>
      </c>
      <c r="U56" s="127">
        <f t="shared" si="7"/>
        <v>-2.1</v>
      </c>
      <c r="V56" s="127">
        <f t="shared" si="7"/>
        <v>-2.1</v>
      </c>
      <c r="W56" s="127">
        <f t="shared" si="7"/>
        <v>-1.6999999999999997</v>
      </c>
    </row>
    <row r="57" spans="1:23" ht="13.5" customHeight="1">
      <c r="A57" s="130" t="s">
        <v>12</v>
      </c>
      <c r="B57" s="131">
        <v>72</v>
      </c>
      <c r="C57" s="125">
        <v>66</v>
      </c>
      <c r="D57" s="125">
        <v>76</v>
      </c>
      <c r="E57" s="125">
        <v>60</v>
      </c>
      <c r="F57" s="125">
        <v>73</v>
      </c>
      <c r="G57" s="129">
        <v>62</v>
      </c>
      <c r="H57" s="125"/>
      <c r="I57" s="130" t="s">
        <v>12</v>
      </c>
      <c r="J57" s="131">
        <v>52</v>
      </c>
      <c r="K57" s="125">
        <v>49</v>
      </c>
      <c r="L57" s="125">
        <v>58</v>
      </c>
      <c r="M57" s="125">
        <v>46</v>
      </c>
      <c r="N57" s="125">
        <v>55</v>
      </c>
      <c r="O57" s="129">
        <v>49</v>
      </c>
      <c r="Q57" s="128" t="str">
        <f t="shared" si="6"/>
        <v>TS/ms</v>
      </c>
      <c r="R57" s="127">
        <f t="shared" si="7"/>
        <v>20</v>
      </c>
      <c r="S57" s="127">
        <f t="shared" si="7"/>
        <v>17</v>
      </c>
      <c r="T57" s="127">
        <f t="shared" si="7"/>
        <v>18</v>
      </c>
      <c r="U57" s="127">
        <f t="shared" si="7"/>
        <v>14</v>
      </c>
      <c r="V57" s="127">
        <f t="shared" si="7"/>
        <v>18</v>
      </c>
      <c r="W57" s="127">
        <f t="shared" si="7"/>
        <v>13</v>
      </c>
    </row>
    <row r="58" spans="1:23" ht="12" customHeight="1">
      <c r="A58" s="130" t="s">
        <v>13</v>
      </c>
      <c r="B58" s="131">
        <v>18.2</v>
      </c>
      <c r="C58" s="125">
        <v>19.3</v>
      </c>
      <c r="D58" s="125">
        <v>18.1</v>
      </c>
      <c r="E58" s="125">
        <v>19</v>
      </c>
      <c r="F58" s="125">
        <v>18.5</v>
      </c>
      <c r="G58" s="129">
        <v>19.3</v>
      </c>
      <c r="H58" s="125"/>
      <c r="I58" s="130" t="s">
        <v>13</v>
      </c>
      <c r="J58" s="131">
        <v>17.8</v>
      </c>
      <c r="K58" s="125">
        <v>19</v>
      </c>
      <c r="L58" s="125">
        <v>17.8</v>
      </c>
      <c r="M58" s="125">
        <v>18.4</v>
      </c>
      <c r="N58" s="125">
        <v>18</v>
      </c>
      <c r="O58" s="129">
        <v>18.8</v>
      </c>
      <c r="Q58" s="128" t="str">
        <f t="shared" si="6"/>
        <v>G/dB</v>
      </c>
      <c r="R58" s="127">
        <f t="shared" si="7"/>
        <v>0.3999999999999986</v>
      </c>
      <c r="S58" s="127">
        <f t="shared" si="7"/>
        <v>0.3000000000000007</v>
      </c>
      <c r="T58" s="127">
        <f t="shared" si="7"/>
        <v>0.3000000000000007</v>
      </c>
      <c r="U58" s="127">
        <f t="shared" si="7"/>
        <v>0.6000000000000014</v>
      </c>
      <c r="V58" s="127">
        <f t="shared" si="7"/>
        <v>0.5</v>
      </c>
      <c r="W58" s="127">
        <f t="shared" si="7"/>
        <v>0.5</v>
      </c>
    </row>
    <row r="59" spans="1:23" ht="12.75">
      <c r="A59" s="130" t="s">
        <v>14</v>
      </c>
      <c r="B59" s="131">
        <v>29</v>
      </c>
      <c r="C59" s="125">
        <v>20.1</v>
      </c>
      <c r="D59" s="125">
        <v>23.3</v>
      </c>
      <c r="E59" s="125">
        <v>22.2</v>
      </c>
      <c r="F59" s="125">
        <v>27.4</v>
      </c>
      <c r="G59" s="129">
        <v>26.5</v>
      </c>
      <c r="H59" s="125"/>
      <c r="I59" s="130" t="s">
        <v>14</v>
      </c>
      <c r="J59" s="131">
        <v>23.1</v>
      </c>
      <c r="K59" s="125">
        <v>24.8</v>
      </c>
      <c r="L59" s="125">
        <v>26</v>
      </c>
      <c r="M59" s="125">
        <v>21.3</v>
      </c>
      <c r="N59" s="125">
        <v>25.7</v>
      </c>
      <c r="O59" s="129">
        <v>25.9</v>
      </c>
      <c r="Q59" s="128" t="str">
        <f t="shared" si="6"/>
        <v>LF/%</v>
      </c>
      <c r="R59" s="127">
        <f t="shared" si="7"/>
        <v>5.899999999999999</v>
      </c>
      <c r="S59" s="127">
        <f t="shared" si="7"/>
        <v>-4.699999999999999</v>
      </c>
      <c r="T59" s="127">
        <f t="shared" si="7"/>
        <v>-2.6999999999999993</v>
      </c>
      <c r="U59" s="127">
        <f t="shared" si="7"/>
        <v>0.8999999999999986</v>
      </c>
      <c r="V59" s="127">
        <f t="shared" si="7"/>
        <v>1.6999999999999993</v>
      </c>
      <c r="W59" s="127">
        <f t="shared" si="7"/>
        <v>0.6000000000000014</v>
      </c>
    </row>
    <row r="60" spans="1:23" ht="12.75">
      <c r="A60" s="130" t="s">
        <v>15</v>
      </c>
      <c r="B60" s="131"/>
      <c r="C60" s="125"/>
      <c r="D60" s="125"/>
      <c r="E60" s="125"/>
      <c r="F60" s="125"/>
      <c r="G60" s="129"/>
      <c r="H60" s="125"/>
      <c r="I60" s="130" t="s">
        <v>15</v>
      </c>
      <c r="J60" s="131"/>
      <c r="K60" s="125"/>
      <c r="L60" s="125"/>
      <c r="M60" s="125"/>
      <c r="N60" s="125"/>
      <c r="O60" s="129"/>
      <c r="Q60" s="128" t="str">
        <f t="shared" si="6"/>
        <v>LFC/%</v>
      </c>
      <c r="R60" s="127">
        <f t="shared" si="7"/>
        <v>0</v>
      </c>
      <c r="S60" s="127">
        <f t="shared" si="7"/>
        <v>0</v>
      </c>
      <c r="T60" s="127">
        <f t="shared" si="7"/>
        <v>0</v>
      </c>
      <c r="U60" s="127">
        <f t="shared" si="7"/>
        <v>0</v>
      </c>
      <c r="V60" s="127">
        <f t="shared" si="7"/>
        <v>0</v>
      </c>
      <c r="W60" s="127">
        <f t="shared" si="7"/>
        <v>0</v>
      </c>
    </row>
    <row r="61" spans="1:23" ht="12.75">
      <c r="A61" s="134" t="s">
        <v>16</v>
      </c>
      <c r="B61" s="135"/>
      <c r="C61" s="132"/>
      <c r="D61" s="132"/>
      <c r="E61" s="132"/>
      <c r="F61" s="132"/>
      <c r="G61" s="133"/>
      <c r="H61" s="125"/>
      <c r="I61" s="134" t="s">
        <v>16</v>
      </c>
      <c r="J61" s="135"/>
      <c r="K61" s="132"/>
      <c r="L61" s="132"/>
      <c r="M61" s="132"/>
      <c r="N61" s="132"/>
      <c r="O61" s="133"/>
      <c r="Q61" s="128" t="str">
        <f t="shared" si="6"/>
        <v>IACC</v>
      </c>
      <c r="R61" s="127">
        <f t="shared" si="7"/>
        <v>0</v>
      </c>
      <c r="S61" s="127">
        <f t="shared" si="7"/>
        <v>0</v>
      </c>
      <c r="T61" s="127">
        <f t="shared" si="7"/>
        <v>0</v>
      </c>
      <c r="U61" s="127">
        <f t="shared" si="7"/>
        <v>0</v>
      </c>
      <c r="V61" s="127">
        <f t="shared" si="7"/>
        <v>0</v>
      </c>
      <c r="W61" s="127">
        <f t="shared" si="7"/>
        <v>0</v>
      </c>
    </row>
    <row r="62" spans="5:15" ht="12.75">
      <c r="E62" s="136"/>
      <c r="F62" s="136"/>
      <c r="G62" s="136"/>
      <c r="H62" s="136"/>
      <c r="M62" s="136"/>
      <c r="N62" s="136"/>
      <c r="O62" s="136"/>
    </row>
    <row r="63" spans="1:18" ht="12.75">
      <c r="A63" s="155" t="s">
        <v>20</v>
      </c>
      <c r="B63" s="156" t="s">
        <v>1</v>
      </c>
      <c r="E63" s="136"/>
      <c r="F63" s="136"/>
      <c r="G63" s="136"/>
      <c r="H63" s="136"/>
      <c r="I63" s="155" t="s">
        <v>20</v>
      </c>
      <c r="J63" s="156" t="s">
        <v>1</v>
      </c>
      <c r="M63" s="136"/>
      <c r="N63" s="136"/>
      <c r="O63" s="136"/>
      <c r="Q63" s="128" t="str">
        <f>+A63</f>
        <v>2000 Hz</v>
      </c>
      <c r="R63" s="128" t="str">
        <f>+B63</f>
        <v>octave</v>
      </c>
    </row>
    <row r="64" spans="1:23" ht="12.75">
      <c r="A64" s="142"/>
      <c r="B64" s="140" t="s">
        <v>2</v>
      </c>
      <c r="C64" s="140" t="s">
        <v>3</v>
      </c>
      <c r="D64" s="139" t="s">
        <v>4</v>
      </c>
      <c r="E64" s="139" t="s">
        <v>5</v>
      </c>
      <c r="F64" s="140" t="s">
        <v>6</v>
      </c>
      <c r="G64" s="139" t="s">
        <v>7</v>
      </c>
      <c r="H64" s="141"/>
      <c r="I64" s="142"/>
      <c r="J64" s="140" t="s">
        <v>2</v>
      </c>
      <c r="K64" s="140" t="s">
        <v>3</v>
      </c>
      <c r="L64" s="139" t="s">
        <v>4</v>
      </c>
      <c r="M64" s="139" t="s">
        <v>5</v>
      </c>
      <c r="N64" s="140" t="s">
        <v>6</v>
      </c>
      <c r="O64" s="139" t="s">
        <v>7</v>
      </c>
      <c r="Q64" s="128">
        <f>+A64</f>
        <v>0</v>
      </c>
      <c r="R64" s="128" t="str">
        <f>+B64</f>
        <v>S1R1</v>
      </c>
      <c r="S64" s="128" t="str">
        <f>+C64</f>
        <v>S1R2</v>
      </c>
      <c r="T64" s="128" t="str">
        <f>+D64</f>
        <v>S1R3</v>
      </c>
      <c r="U64" s="128" t="str">
        <f>+E64</f>
        <v>S2R1</v>
      </c>
      <c r="V64" s="128" t="str">
        <f>+F64</f>
        <v>S2R2</v>
      </c>
      <c r="W64" s="128" t="str">
        <f>+G64</f>
        <v>S2R3</v>
      </c>
    </row>
    <row r="65" spans="1:23" ht="12.75">
      <c r="A65" s="130" t="s">
        <v>8</v>
      </c>
      <c r="B65" s="145">
        <v>1.11</v>
      </c>
      <c r="C65" s="143">
        <v>1.08</v>
      </c>
      <c r="D65" s="143">
        <v>1.02</v>
      </c>
      <c r="E65" s="125">
        <v>1.01</v>
      </c>
      <c r="F65" s="143">
        <v>1.05</v>
      </c>
      <c r="G65" s="144">
        <v>0.99</v>
      </c>
      <c r="H65" s="125"/>
      <c r="I65" s="130" t="s">
        <v>8</v>
      </c>
      <c r="J65" s="145">
        <v>0.72</v>
      </c>
      <c r="K65" s="143">
        <v>0.83</v>
      </c>
      <c r="L65" s="143">
        <v>0.67</v>
      </c>
      <c r="M65" s="125">
        <v>0.76</v>
      </c>
      <c r="N65" s="143">
        <v>0.75</v>
      </c>
      <c r="O65" s="144">
        <v>0.73</v>
      </c>
      <c r="Q65" s="128" t="str">
        <f aca="true" t="shared" si="8" ref="Q65:Q73">+A65</f>
        <v>T30/s</v>
      </c>
      <c r="R65" s="127">
        <f aca="true" t="shared" si="9" ref="R65:W73">+B65-J65</f>
        <v>0.3900000000000001</v>
      </c>
      <c r="S65" s="127">
        <f t="shared" si="9"/>
        <v>0.2500000000000001</v>
      </c>
      <c r="T65" s="127">
        <f t="shared" si="9"/>
        <v>0.35</v>
      </c>
      <c r="U65" s="127">
        <f t="shared" si="9"/>
        <v>0.25</v>
      </c>
      <c r="V65" s="127">
        <f t="shared" si="9"/>
        <v>0.30000000000000004</v>
      </c>
      <c r="W65" s="127">
        <f t="shared" si="9"/>
        <v>0.26</v>
      </c>
    </row>
    <row r="66" spans="1:23" ht="12.75">
      <c r="A66" s="130" t="s">
        <v>9</v>
      </c>
      <c r="B66" s="131">
        <v>1.11</v>
      </c>
      <c r="C66" s="125">
        <v>1.03</v>
      </c>
      <c r="D66" s="125">
        <v>1.14</v>
      </c>
      <c r="E66" s="125">
        <v>0.98</v>
      </c>
      <c r="F66" s="125">
        <v>1.12</v>
      </c>
      <c r="G66" s="129">
        <v>1.02</v>
      </c>
      <c r="H66" s="125"/>
      <c r="I66" s="130" t="s">
        <v>9</v>
      </c>
      <c r="J66" s="131">
        <v>0.77</v>
      </c>
      <c r="K66" s="125">
        <v>0.73</v>
      </c>
      <c r="L66" s="125">
        <v>0.83</v>
      </c>
      <c r="M66" s="125">
        <v>0.71</v>
      </c>
      <c r="N66" s="125">
        <v>0.78</v>
      </c>
      <c r="O66" s="129">
        <v>0.73</v>
      </c>
      <c r="Q66" s="128" t="str">
        <f t="shared" si="8"/>
        <v>EDT/s</v>
      </c>
      <c r="R66" s="127">
        <f t="shared" si="9"/>
        <v>0.3400000000000001</v>
      </c>
      <c r="S66" s="127">
        <f t="shared" si="9"/>
        <v>0.30000000000000004</v>
      </c>
      <c r="T66" s="127">
        <f t="shared" si="9"/>
        <v>0.30999999999999994</v>
      </c>
      <c r="U66" s="127">
        <f t="shared" si="9"/>
        <v>0.27</v>
      </c>
      <c r="V66" s="127">
        <f t="shared" si="9"/>
        <v>0.3400000000000001</v>
      </c>
      <c r="W66" s="127">
        <f t="shared" si="9"/>
        <v>0.29000000000000004</v>
      </c>
    </row>
    <row r="67" spans="1:23" ht="12.75">
      <c r="A67" s="130" t="s">
        <v>10</v>
      </c>
      <c r="B67" s="131">
        <v>46</v>
      </c>
      <c r="C67" s="125">
        <v>53</v>
      </c>
      <c r="D67" s="125">
        <v>45</v>
      </c>
      <c r="E67" s="125">
        <v>53</v>
      </c>
      <c r="F67" s="125">
        <v>48</v>
      </c>
      <c r="G67" s="129">
        <v>54</v>
      </c>
      <c r="H67" s="125"/>
      <c r="I67" s="130" t="s">
        <v>10</v>
      </c>
      <c r="J67" s="131">
        <v>65</v>
      </c>
      <c r="K67" s="125">
        <v>65</v>
      </c>
      <c r="L67" s="125">
        <v>58</v>
      </c>
      <c r="M67" s="125">
        <v>66</v>
      </c>
      <c r="N67" s="125">
        <v>61</v>
      </c>
      <c r="O67" s="129">
        <v>64</v>
      </c>
      <c r="Q67" s="128" t="str">
        <f t="shared" si="8"/>
        <v>D/%</v>
      </c>
      <c r="R67" s="127">
        <f t="shared" si="9"/>
        <v>-19</v>
      </c>
      <c r="S67" s="127">
        <f t="shared" si="9"/>
        <v>-12</v>
      </c>
      <c r="T67" s="127">
        <f t="shared" si="9"/>
        <v>-13</v>
      </c>
      <c r="U67" s="127">
        <f t="shared" si="9"/>
        <v>-13</v>
      </c>
      <c r="V67" s="127">
        <f t="shared" si="9"/>
        <v>-13</v>
      </c>
      <c r="W67" s="127">
        <f t="shared" si="9"/>
        <v>-10</v>
      </c>
    </row>
    <row r="68" spans="1:23" ht="12.75">
      <c r="A68" s="130" t="s">
        <v>11</v>
      </c>
      <c r="B68" s="131">
        <v>2.3</v>
      </c>
      <c r="C68" s="125">
        <v>3.5</v>
      </c>
      <c r="D68" s="125">
        <v>2.1</v>
      </c>
      <c r="E68" s="125">
        <v>3.4</v>
      </c>
      <c r="F68" s="125">
        <v>2.4</v>
      </c>
      <c r="G68" s="129">
        <v>3.4</v>
      </c>
      <c r="H68" s="125"/>
      <c r="I68" s="130" t="s">
        <v>11</v>
      </c>
      <c r="J68" s="131">
        <v>5.6</v>
      </c>
      <c r="K68" s="125">
        <v>5.9</v>
      </c>
      <c r="L68" s="125">
        <v>4.8</v>
      </c>
      <c r="M68" s="125">
        <v>6.3</v>
      </c>
      <c r="N68" s="125">
        <v>5.4</v>
      </c>
      <c r="O68" s="129">
        <v>5.9</v>
      </c>
      <c r="Q68" s="128" t="str">
        <f t="shared" si="8"/>
        <v>C/dB</v>
      </c>
      <c r="R68" s="127">
        <f t="shared" si="9"/>
        <v>-3.3</v>
      </c>
      <c r="S68" s="127">
        <f t="shared" si="9"/>
        <v>-2.4000000000000004</v>
      </c>
      <c r="T68" s="127">
        <f t="shared" si="9"/>
        <v>-2.6999999999999997</v>
      </c>
      <c r="U68" s="127">
        <f t="shared" si="9"/>
        <v>-2.9</v>
      </c>
      <c r="V68" s="127">
        <f t="shared" si="9"/>
        <v>-3.0000000000000004</v>
      </c>
      <c r="W68" s="127">
        <f t="shared" si="9"/>
        <v>-2.5000000000000004</v>
      </c>
    </row>
    <row r="69" spans="1:23" ht="12.75">
      <c r="A69" s="130" t="s">
        <v>12</v>
      </c>
      <c r="B69" s="131">
        <v>78</v>
      </c>
      <c r="C69" s="125">
        <v>68</v>
      </c>
      <c r="D69" s="125">
        <v>80</v>
      </c>
      <c r="E69" s="125">
        <v>66</v>
      </c>
      <c r="F69" s="125">
        <v>78</v>
      </c>
      <c r="G69" s="129">
        <v>67</v>
      </c>
      <c r="H69" s="125"/>
      <c r="I69" s="130" t="s">
        <v>12</v>
      </c>
      <c r="J69" s="131">
        <v>50</v>
      </c>
      <c r="K69" s="125">
        <v>46</v>
      </c>
      <c r="L69" s="125">
        <v>56</v>
      </c>
      <c r="M69" s="125">
        <v>45</v>
      </c>
      <c r="N69" s="125">
        <v>53</v>
      </c>
      <c r="O69" s="129">
        <v>47</v>
      </c>
      <c r="Q69" s="128" t="str">
        <f t="shared" si="8"/>
        <v>TS/ms</v>
      </c>
      <c r="R69" s="127">
        <f t="shared" si="9"/>
        <v>28</v>
      </c>
      <c r="S69" s="127">
        <f t="shared" si="9"/>
        <v>22</v>
      </c>
      <c r="T69" s="127">
        <f t="shared" si="9"/>
        <v>24</v>
      </c>
      <c r="U69" s="127">
        <f t="shared" si="9"/>
        <v>21</v>
      </c>
      <c r="V69" s="127">
        <f t="shared" si="9"/>
        <v>25</v>
      </c>
      <c r="W69" s="127">
        <f t="shared" si="9"/>
        <v>20</v>
      </c>
    </row>
    <row r="70" spans="1:23" ht="12.75">
      <c r="A70" s="130" t="s">
        <v>13</v>
      </c>
      <c r="B70" s="131">
        <v>18.7</v>
      </c>
      <c r="C70" s="125">
        <v>19.9</v>
      </c>
      <c r="D70" s="125">
        <v>18.7</v>
      </c>
      <c r="E70" s="125">
        <v>19.4</v>
      </c>
      <c r="F70" s="125">
        <v>18.9</v>
      </c>
      <c r="G70" s="129">
        <v>19.8</v>
      </c>
      <c r="H70" s="125"/>
      <c r="I70" s="130" t="s">
        <v>13</v>
      </c>
      <c r="J70" s="131">
        <v>17.5</v>
      </c>
      <c r="K70" s="125">
        <v>18.8</v>
      </c>
      <c r="L70" s="125">
        <v>17.6</v>
      </c>
      <c r="M70" s="125">
        <v>18.2</v>
      </c>
      <c r="N70" s="125">
        <v>17.9</v>
      </c>
      <c r="O70" s="129">
        <v>18.7</v>
      </c>
      <c r="Q70" s="128" t="str">
        <f t="shared" si="8"/>
        <v>G/dB</v>
      </c>
      <c r="R70" s="127">
        <f t="shared" si="9"/>
        <v>1.1999999999999993</v>
      </c>
      <c r="S70" s="127">
        <f t="shared" si="9"/>
        <v>1.0999999999999979</v>
      </c>
      <c r="T70" s="127">
        <f t="shared" si="9"/>
        <v>1.0999999999999979</v>
      </c>
      <c r="U70" s="127">
        <f t="shared" si="9"/>
        <v>1.1999999999999993</v>
      </c>
      <c r="V70" s="127">
        <f t="shared" si="9"/>
        <v>1</v>
      </c>
      <c r="W70" s="127">
        <f t="shared" si="9"/>
        <v>1.1000000000000014</v>
      </c>
    </row>
    <row r="71" spans="1:23" ht="12.75">
      <c r="A71" s="130" t="s">
        <v>14</v>
      </c>
      <c r="B71" s="131">
        <v>28.7</v>
      </c>
      <c r="C71" s="125">
        <v>23.5</v>
      </c>
      <c r="D71" s="125">
        <v>23.6</v>
      </c>
      <c r="E71" s="125">
        <v>22.3</v>
      </c>
      <c r="F71" s="125">
        <v>27.3</v>
      </c>
      <c r="G71" s="129">
        <v>25.9</v>
      </c>
      <c r="H71" s="125"/>
      <c r="I71" s="130" t="s">
        <v>14</v>
      </c>
      <c r="J71" s="131">
        <v>22.2</v>
      </c>
      <c r="K71" s="125">
        <v>24.3</v>
      </c>
      <c r="L71" s="125">
        <v>25.7</v>
      </c>
      <c r="M71" s="125">
        <v>20.3</v>
      </c>
      <c r="N71" s="125">
        <v>25.1</v>
      </c>
      <c r="O71" s="129">
        <v>25.4</v>
      </c>
      <c r="Q71" s="128" t="str">
        <f t="shared" si="8"/>
        <v>LF/%</v>
      </c>
      <c r="R71" s="127">
        <f t="shared" si="9"/>
        <v>6.5</v>
      </c>
      <c r="S71" s="127">
        <f t="shared" si="9"/>
        <v>-0.8000000000000007</v>
      </c>
      <c r="T71" s="127">
        <f t="shared" si="9"/>
        <v>-2.099999999999998</v>
      </c>
      <c r="U71" s="127">
        <f t="shared" si="9"/>
        <v>2</v>
      </c>
      <c r="V71" s="127">
        <f t="shared" si="9"/>
        <v>2.1999999999999993</v>
      </c>
      <c r="W71" s="127">
        <f t="shared" si="9"/>
        <v>0.5</v>
      </c>
    </row>
    <row r="72" spans="1:23" ht="12.75">
      <c r="A72" s="130" t="s">
        <v>15</v>
      </c>
      <c r="B72" s="131"/>
      <c r="C72" s="125"/>
      <c r="D72" s="125"/>
      <c r="E72" s="125"/>
      <c r="F72" s="125"/>
      <c r="G72" s="129"/>
      <c r="H72" s="125"/>
      <c r="I72" s="130" t="s">
        <v>15</v>
      </c>
      <c r="J72" s="131"/>
      <c r="K72" s="125"/>
      <c r="L72" s="125"/>
      <c r="M72" s="125"/>
      <c r="N72" s="125"/>
      <c r="O72" s="129"/>
      <c r="Q72" s="128" t="str">
        <f t="shared" si="8"/>
        <v>LFC/%</v>
      </c>
      <c r="R72" s="127">
        <f t="shared" si="9"/>
        <v>0</v>
      </c>
      <c r="S72" s="127">
        <f t="shared" si="9"/>
        <v>0</v>
      </c>
      <c r="T72" s="127">
        <f t="shared" si="9"/>
        <v>0</v>
      </c>
      <c r="U72" s="127">
        <f t="shared" si="9"/>
        <v>0</v>
      </c>
      <c r="V72" s="127">
        <f t="shared" si="9"/>
        <v>0</v>
      </c>
      <c r="W72" s="127">
        <f t="shared" si="9"/>
        <v>0</v>
      </c>
    </row>
    <row r="73" spans="1:23" ht="12.75">
      <c r="A73" s="134" t="s">
        <v>16</v>
      </c>
      <c r="B73" s="135"/>
      <c r="C73" s="132"/>
      <c r="D73" s="132"/>
      <c r="E73" s="132"/>
      <c r="F73" s="132"/>
      <c r="G73" s="133"/>
      <c r="H73" s="125"/>
      <c r="I73" s="134" t="s">
        <v>16</v>
      </c>
      <c r="J73" s="135"/>
      <c r="K73" s="132"/>
      <c r="L73" s="132"/>
      <c r="M73" s="132"/>
      <c r="N73" s="132"/>
      <c r="O73" s="133"/>
      <c r="Q73" s="128" t="str">
        <f t="shared" si="8"/>
        <v>IACC</v>
      </c>
      <c r="R73" s="127">
        <f t="shared" si="9"/>
        <v>0</v>
      </c>
      <c r="S73" s="127">
        <f t="shared" si="9"/>
        <v>0</v>
      </c>
      <c r="T73" s="127">
        <f t="shared" si="9"/>
        <v>0</v>
      </c>
      <c r="U73" s="127">
        <f t="shared" si="9"/>
        <v>0</v>
      </c>
      <c r="V73" s="127">
        <f t="shared" si="9"/>
        <v>0</v>
      </c>
      <c r="W73" s="127">
        <f t="shared" si="9"/>
        <v>0</v>
      </c>
    </row>
    <row r="74" spans="5:15" ht="12.75">
      <c r="E74" s="136"/>
      <c r="F74" s="136"/>
      <c r="G74" s="136"/>
      <c r="H74" s="136"/>
      <c r="M74" s="136"/>
      <c r="N74" s="136"/>
      <c r="O74" s="136"/>
    </row>
    <row r="75" spans="1:18" ht="12.75">
      <c r="A75" s="155" t="s">
        <v>21</v>
      </c>
      <c r="B75" s="156" t="s">
        <v>1</v>
      </c>
      <c r="E75" s="136"/>
      <c r="F75" s="136"/>
      <c r="G75" s="136"/>
      <c r="H75" s="136"/>
      <c r="I75" s="155" t="s">
        <v>21</v>
      </c>
      <c r="J75" s="156" t="s">
        <v>1</v>
      </c>
      <c r="M75" s="136"/>
      <c r="N75" s="136"/>
      <c r="O75" s="136"/>
      <c r="Q75" s="128" t="str">
        <f>+A75</f>
        <v>4000 Hz</v>
      </c>
      <c r="R75" s="128" t="str">
        <f>+B75</f>
        <v>octave</v>
      </c>
    </row>
    <row r="76" spans="1:23" ht="12.75">
      <c r="A76" s="142"/>
      <c r="B76" s="140" t="s">
        <v>2</v>
      </c>
      <c r="C76" s="140" t="s">
        <v>3</v>
      </c>
      <c r="D76" s="139" t="s">
        <v>4</v>
      </c>
      <c r="E76" s="139" t="s">
        <v>5</v>
      </c>
      <c r="F76" s="140" t="s">
        <v>6</v>
      </c>
      <c r="G76" s="139" t="s">
        <v>7</v>
      </c>
      <c r="H76" s="141"/>
      <c r="I76" s="142"/>
      <c r="J76" s="140" t="s">
        <v>2</v>
      </c>
      <c r="K76" s="140" t="s">
        <v>3</v>
      </c>
      <c r="L76" s="139" t="s">
        <v>4</v>
      </c>
      <c r="M76" s="139" t="s">
        <v>5</v>
      </c>
      <c r="N76" s="140" t="s">
        <v>6</v>
      </c>
      <c r="O76" s="139" t="s">
        <v>7</v>
      </c>
      <c r="Q76" s="128">
        <f>+A76</f>
        <v>0</v>
      </c>
      <c r="R76" s="128" t="str">
        <f>+B76</f>
        <v>S1R1</v>
      </c>
      <c r="S76" s="128" t="str">
        <f>+C76</f>
        <v>S1R2</v>
      </c>
      <c r="T76" s="128" t="str">
        <f>+D76</f>
        <v>S1R3</v>
      </c>
      <c r="U76" s="128" t="str">
        <f>+E76</f>
        <v>S2R1</v>
      </c>
      <c r="V76" s="128" t="str">
        <f>+F76</f>
        <v>S2R2</v>
      </c>
      <c r="W76" s="128" t="str">
        <f>+G76</f>
        <v>S2R3</v>
      </c>
    </row>
    <row r="77" spans="1:23" ht="12.75">
      <c r="A77" s="130" t="s">
        <v>8</v>
      </c>
      <c r="B77" s="145">
        <v>0.95</v>
      </c>
      <c r="C77" s="143">
        <v>0.8</v>
      </c>
      <c r="D77" s="143">
        <v>0.84</v>
      </c>
      <c r="E77" s="125">
        <v>0.9</v>
      </c>
      <c r="F77" s="143">
        <v>0.92</v>
      </c>
      <c r="G77" s="144">
        <v>0.81</v>
      </c>
      <c r="H77" s="125"/>
      <c r="I77" s="130" t="s">
        <v>8</v>
      </c>
      <c r="J77" s="145">
        <v>0.56</v>
      </c>
      <c r="K77" s="143">
        <v>0.67</v>
      </c>
      <c r="L77" s="143">
        <v>0.62</v>
      </c>
      <c r="M77" s="125">
        <v>0.69</v>
      </c>
      <c r="N77" s="143">
        <v>0.65</v>
      </c>
      <c r="O77" s="144">
        <v>0.69</v>
      </c>
      <c r="Q77" s="128" t="str">
        <f aca="true" t="shared" si="10" ref="Q77:Q85">+A77</f>
        <v>T30/s</v>
      </c>
      <c r="R77" s="127">
        <f aca="true" t="shared" si="11" ref="R77:W85">+B77-J77</f>
        <v>0.3899999999999999</v>
      </c>
      <c r="S77" s="127">
        <f t="shared" si="11"/>
        <v>0.13</v>
      </c>
      <c r="T77" s="127">
        <f t="shared" si="11"/>
        <v>0.21999999999999997</v>
      </c>
      <c r="U77" s="127">
        <f t="shared" si="11"/>
        <v>0.21000000000000008</v>
      </c>
      <c r="V77" s="127">
        <f t="shared" si="11"/>
        <v>0.27</v>
      </c>
      <c r="W77" s="127">
        <f t="shared" si="11"/>
        <v>0.1200000000000001</v>
      </c>
    </row>
    <row r="78" spans="1:23" ht="12.75">
      <c r="A78" s="130" t="s">
        <v>9</v>
      </c>
      <c r="B78" s="131">
        <v>0.91</v>
      </c>
      <c r="C78" s="125">
        <v>0.85</v>
      </c>
      <c r="D78" s="125">
        <v>0.95</v>
      </c>
      <c r="E78" s="125">
        <v>0.81</v>
      </c>
      <c r="F78" s="125">
        <v>0.94</v>
      </c>
      <c r="G78" s="129">
        <v>0.83</v>
      </c>
      <c r="H78" s="125"/>
      <c r="I78" s="130" t="s">
        <v>9</v>
      </c>
      <c r="J78" s="131">
        <v>0.65</v>
      </c>
      <c r="K78" s="125">
        <v>0.6</v>
      </c>
      <c r="L78" s="125">
        <v>0.69</v>
      </c>
      <c r="M78" s="125">
        <v>0.59</v>
      </c>
      <c r="N78" s="125">
        <v>0.65</v>
      </c>
      <c r="O78" s="129">
        <v>0.61</v>
      </c>
      <c r="Q78" s="128" t="str">
        <f t="shared" si="10"/>
        <v>EDT/s</v>
      </c>
      <c r="R78" s="127">
        <f t="shared" si="11"/>
        <v>0.26</v>
      </c>
      <c r="S78" s="127">
        <f t="shared" si="11"/>
        <v>0.25</v>
      </c>
      <c r="T78" s="127">
        <f t="shared" si="11"/>
        <v>0.26</v>
      </c>
      <c r="U78" s="127">
        <f t="shared" si="11"/>
        <v>0.22000000000000008</v>
      </c>
      <c r="V78" s="127">
        <f t="shared" si="11"/>
        <v>0.2899999999999999</v>
      </c>
      <c r="W78" s="127">
        <f t="shared" si="11"/>
        <v>0.21999999999999997</v>
      </c>
    </row>
    <row r="79" spans="1:23" ht="12.75">
      <c r="A79" s="130" t="s">
        <v>10</v>
      </c>
      <c r="B79" s="131">
        <v>55</v>
      </c>
      <c r="C79" s="125">
        <v>61</v>
      </c>
      <c r="D79" s="125">
        <v>54</v>
      </c>
      <c r="E79" s="125">
        <v>61</v>
      </c>
      <c r="F79" s="125">
        <v>55</v>
      </c>
      <c r="G79" s="129">
        <v>61</v>
      </c>
      <c r="H79" s="125"/>
      <c r="I79" s="130" t="s">
        <v>10</v>
      </c>
      <c r="J79" s="131">
        <v>71</v>
      </c>
      <c r="K79" s="125">
        <v>72</v>
      </c>
      <c r="L79" s="125">
        <v>65</v>
      </c>
      <c r="M79" s="125">
        <v>72</v>
      </c>
      <c r="N79" s="125">
        <v>67</v>
      </c>
      <c r="O79" s="129">
        <v>71</v>
      </c>
      <c r="Q79" s="128" t="str">
        <f t="shared" si="10"/>
        <v>D/%</v>
      </c>
      <c r="R79" s="127">
        <f t="shared" si="11"/>
        <v>-16</v>
      </c>
      <c r="S79" s="127">
        <f t="shared" si="11"/>
        <v>-11</v>
      </c>
      <c r="T79" s="127">
        <f t="shared" si="11"/>
        <v>-11</v>
      </c>
      <c r="U79" s="127">
        <f t="shared" si="11"/>
        <v>-11</v>
      </c>
      <c r="V79" s="127">
        <f t="shared" si="11"/>
        <v>-12</v>
      </c>
      <c r="W79" s="127">
        <f t="shared" si="11"/>
        <v>-10</v>
      </c>
    </row>
    <row r="80" spans="1:23" ht="12.75">
      <c r="A80" s="130" t="s">
        <v>11</v>
      </c>
      <c r="B80" s="131">
        <v>3.8</v>
      </c>
      <c r="C80" s="125">
        <v>5</v>
      </c>
      <c r="D80" s="125">
        <v>3.6</v>
      </c>
      <c r="E80" s="125">
        <v>4.9</v>
      </c>
      <c r="F80" s="125">
        <v>3.7</v>
      </c>
      <c r="G80" s="129">
        <v>4.9</v>
      </c>
      <c r="H80" s="125"/>
      <c r="I80" s="130" t="s">
        <v>11</v>
      </c>
      <c r="J80" s="131">
        <v>7.2</v>
      </c>
      <c r="K80" s="125">
        <v>7.5</v>
      </c>
      <c r="L80" s="125">
        <v>6.5</v>
      </c>
      <c r="M80" s="125">
        <v>8</v>
      </c>
      <c r="N80" s="125">
        <v>6.9</v>
      </c>
      <c r="O80" s="129">
        <v>7.5</v>
      </c>
      <c r="Q80" s="128" t="str">
        <f t="shared" si="10"/>
        <v>C/dB</v>
      </c>
      <c r="R80" s="127">
        <f t="shared" si="11"/>
        <v>-3.4000000000000004</v>
      </c>
      <c r="S80" s="127">
        <f t="shared" si="11"/>
        <v>-2.5</v>
      </c>
      <c r="T80" s="127">
        <f t="shared" si="11"/>
        <v>-2.9</v>
      </c>
      <c r="U80" s="127">
        <f t="shared" si="11"/>
        <v>-3.0999999999999996</v>
      </c>
      <c r="V80" s="127">
        <f t="shared" si="11"/>
        <v>-3.2</v>
      </c>
      <c r="W80" s="127">
        <f t="shared" si="11"/>
        <v>-2.5999999999999996</v>
      </c>
    </row>
    <row r="81" spans="1:23" ht="12.75">
      <c r="A81" s="130" t="s">
        <v>12</v>
      </c>
      <c r="B81" s="131">
        <v>63</v>
      </c>
      <c r="C81" s="125">
        <v>54</v>
      </c>
      <c r="D81" s="125">
        <v>65</v>
      </c>
      <c r="E81" s="125">
        <v>53</v>
      </c>
      <c r="F81" s="125">
        <v>65</v>
      </c>
      <c r="G81" s="129">
        <v>55</v>
      </c>
      <c r="H81" s="125"/>
      <c r="I81" s="130" t="s">
        <v>12</v>
      </c>
      <c r="J81" s="131">
        <v>41</v>
      </c>
      <c r="K81" s="125">
        <v>38</v>
      </c>
      <c r="L81" s="125">
        <v>46</v>
      </c>
      <c r="M81" s="125">
        <v>36</v>
      </c>
      <c r="N81" s="125">
        <v>44</v>
      </c>
      <c r="O81" s="129">
        <v>38</v>
      </c>
      <c r="Q81" s="128" t="str">
        <f t="shared" si="10"/>
        <v>TS/ms</v>
      </c>
      <c r="R81" s="127">
        <f t="shared" si="11"/>
        <v>22</v>
      </c>
      <c r="S81" s="127">
        <f t="shared" si="11"/>
        <v>16</v>
      </c>
      <c r="T81" s="127">
        <f t="shared" si="11"/>
        <v>19</v>
      </c>
      <c r="U81" s="127">
        <f t="shared" si="11"/>
        <v>17</v>
      </c>
      <c r="V81" s="127">
        <f t="shared" si="11"/>
        <v>21</v>
      </c>
      <c r="W81" s="127">
        <f t="shared" si="11"/>
        <v>17</v>
      </c>
    </row>
    <row r="82" spans="1:23" ht="12.75">
      <c r="A82" s="130" t="s">
        <v>13</v>
      </c>
      <c r="B82" s="131">
        <v>18</v>
      </c>
      <c r="C82" s="125">
        <v>19.3</v>
      </c>
      <c r="D82" s="125">
        <v>18</v>
      </c>
      <c r="E82" s="125">
        <v>18.9</v>
      </c>
      <c r="F82" s="125">
        <v>18.1</v>
      </c>
      <c r="G82" s="129">
        <v>19.2</v>
      </c>
      <c r="H82" s="125"/>
      <c r="I82" s="130" t="s">
        <v>13</v>
      </c>
      <c r="J82" s="131">
        <v>16.7</v>
      </c>
      <c r="K82" s="125">
        <v>18.1</v>
      </c>
      <c r="L82" s="125">
        <v>16.7</v>
      </c>
      <c r="M82" s="125">
        <v>17.6</v>
      </c>
      <c r="N82" s="125">
        <v>17</v>
      </c>
      <c r="O82" s="129">
        <v>18.1</v>
      </c>
      <c r="Q82" s="128" t="str">
        <f t="shared" si="10"/>
        <v>G/dB</v>
      </c>
      <c r="R82" s="127">
        <f t="shared" si="11"/>
        <v>1.3000000000000007</v>
      </c>
      <c r="S82" s="127">
        <f t="shared" si="11"/>
        <v>1.1999999999999993</v>
      </c>
      <c r="T82" s="127">
        <f t="shared" si="11"/>
        <v>1.3000000000000007</v>
      </c>
      <c r="U82" s="127">
        <f t="shared" si="11"/>
        <v>1.2999999999999972</v>
      </c>
      <c r="V82" s="127">
        <f t="shared" si="11"/>
        <v>1.1000000000000014</v>
      </c>
      <c r="W82" s="127">
        <f t="shared" si="11"/>
        <v>1.0999999999999979</v>
      </c>
    </row>
    <row r="83" spans="1:23" ht="12.75">
      <c r="A83" s="130" t="s">
        <v>14</v>
      </c>
      <c r="B83" s="131">
        <v>27.2</v>
      </c>
      <c r="C83" s="125">
        <v>22.7</v>
      </c>
      <c r="D83" s="125">
        <v>23.8</v>
      </c>
      <c r="E83" s="125">
        <v>22</v>
      </c>
      <c r="F83" s="125">
        <v>26.6</v>
      </c>
      <c r="G83" s="129">
        <v>25.5</v>
      </c>
      <c r="H83" s="125"/>
      <c r="I83" s="130" t="s">
        <v>14</v>
      </c>
      <c r="J83" s="131">
        <v>21</v>
      </c>
      <c r="K83" s="125">
        <v>23.3</v>
      </c>
      <c r="L83" s="125">
        <v>24.9</v>
      </c>
      <c r="M83" s="125">
        <v>19.1</v>
      </c>
      <c r="N83" s="125">
        <v>24.4</v>
      </c>
      <c r="O83" s="129">
        <v>24.7</v>
      </c>
      <c r="Q83" s="128" t="str">
        <f t="shared" si="10"/>
        <v>LF/%</v>
      </c>
      <c r="R83" s="127">
        <f t="shared" si="11"/>
        <v>6.199999999999999</v>
      </c>
      <c r="S83" s="127">
        <f t="shared" si="11"/>
        <v>-0.6000000000000014</v>
      </c>
      <c r="T83" s="127">
        <f t="shared" si="11"/>
        <v>-1.0999999999999979</v>
      </c>
      <c r="U83" s="127">
        <f t="shared" si="11"/>
        <v>2.8999999999999986</v>
      </c>
      <c r="V83" s="127">
        <f t="shared" si="11"/>
        <v>2.200000000000003</v>
      </c>
      <c r="W83" s="127">
        <f t="shared" si="11"/>
        <v>0.8000000000000007</v>
      </c>
    </row>
    <row r="84" spans="1:23" ht="12.75">
      <c r="A84" s="130" t="s">
        <v>15</v>
      </c>
      <c r="B84" s="131"/>
      <c r="C84" s="125"/>
      <c r="D84" s="125"/>
      <c r="E84" s="125"/>
      <c r="F84" s="125"/>
      <c r="G84" s="129"/>
      <c r="H84" s="125"/>
      <c r="I84" s="130" t="s">
        <v>15</v>
      </c>
      <c r="J84" s="131"/>
      <c r="K84" s="125"/>
      <c r="L84" s="125"/>
      <c r="M84" s="125"/>
      <c r="N84" s="125"/>
      <c r="O84" s="129"/>
      <c r="Q84" s="128" t="str">
        <f t="shared" si="10"/>
        <v>LFC/%</v>
      </c>
      <c r="R84" s="127">
        <f t="shared" si="11"/>
        <v>0</v>
      </c>
      <c r="S84" s="127">
        <f t="shared" si="11"/>
        <v>0</v>
      </c>
      <c r="T84" s="127">
        <f t="shared" si="11"/>
        <v>0</v>
      </c>
      <c r="U84" s="127">
        <f t="shared" si="11"/>
        <v>0</v>
      </c>
      <c r="V84" s="127">
        <f t="shared" si="11"/>
        <v>0</v>
      </c>
      <c r="W84" s="127">
        <f t="shared" si="11"/>
        <v>0</v>
      </c>
    </row>
    <row r="85" spans="1:23" ht="12.75">
      <c r="A85" s="134" t="s">
        <v>16</v>
      </c>
      <c r="B85" s="135"/>
      <c r="C85" s="132"/>
      <c r="D85" s="132"/>
      <c r="E85" s="132"/>
      <c r="F85" s="132"/>
      <c r="G85" s="133"/>
      <c r="H85" s="125"/>
      <c r="I85" s="134" t="s">
        <v>16</v>
      </c>
      <c r="J85" s="135"/>
      <c r="K85" s="132"/>
      <c r="L85" s="132"/>
      <c r="M85" s="132"/>
      <c r="N85" s="132"/>
      <c r="O85" s="133"/>
      <c r="Q85" s="128" t="str">
        <f t="shared" si="10"/>
        <v>IACC</v>
      </c>
      <c r="R85" s="127">
        <f t="shared" si="11"/>
        <v>0</v>
      </c>
      <c r="S85" s="127">
        <f t="shared" si="11"/>
        <v>0</v>
      </c>
      <c r="T85" s="127">
        <f t="shared" si="11"/>
        <v>0</v>
      </c>
      <c r="U85" s="127">
        <f t="shared" si="11"/>
        <v>0</v>
      </c>
      <c r="V85" s="127">
        <f t="shared" si="11"/>
        <v>0</v>
      </c>
      <c r="W85" s="127">
        <f t="shared" si="11"/>
        <v>0</v>
      </c>
    </row>
    <row r="86" spans="5:15" ht="12.75">
      <c r="E86" s="136"/>
      <c r="F86" s="136"/>
      <c r="G86" s="136"/>
      <c r="H86" s="136"/>
      <c r="M86" s="136"/>
      <c r="N86" s="136"/>
      <c r="O86" s="136"/>
    </row>
    <row r="87" spans="5:15" ht="12.75">
      <c r="E87" s="136"/>
      <c r="F87" s="136"/>
      <c r="G87" s="136"/>
      <c r="H87" s="136"/>
      <c r="M87" s="136"/>
      <c r="N87" s="136"/>
      <c r="O87" s="136"/>
    </row>
    <row r="88" spans="1:15" ht="12.75">
      <c r="A88" s="146"/>
      <c r="E88" s="136"/>
      <c r="F88" s="136"/>
      <c r="G88" s="136"/>
      <c r="H88" s="136"/>
      <c r="I88" s="146"/>
      <c r="M88" s="136"/>
      <c r="N88" s="136"/>
      <c r="O88" s="136"/>
    </row>
    <row r="89" spans="5:15" ht="12.75">
      <c r="E89" s="136"/>
      <c r="F89" s="136"/>
      <c r="G89" s="136"/>
      <c r="H89" s="136"/>
      <c r="M89" s="136"/>
      <c r="N89" s="136"/>
      <c r="O89" s="136"/>
    </row>
    <row r="90" spans="5:15" ht="12.75">
      <c r="E90" s="136"/>
      <c r="F90" s="136"/>
      <c r="G90" s="136"/>
      <c r="H90" s="136"/>
      <c r="M90" s="136"/>
      <c r="N90" s="136"/>
      <c r="O90" s="136"/>
    </row>
    <row r="91" spans="5:15" ht="12.75">
      <c r="E91" s="136"/>
      <c r="F91" s="136"/>
      <c r="G91" s="136"/>
      <c r="H91" s="136"/>
      <c r="M91" s="136"/>
      <c r="N91" s="136"/>
      <c r="O91" s="136"/>
    </row>
    <row r="92" spans="5:15" ht="12.75">
      <c r="E92" s="136"/>
      <c r="F92" s="136"/>
      <c r="G92" s="136"/>
      <c r="H92" s="136"/>
      <c r="M92" s="136"/>
      <c r="N92" s="136"/>
      <c r="O92" s="136"/>
    </row>
    <row r="93" spans="5:15" ht="12.75">
      <c r="E93" s="136"/>
      <c r="F93" s="136"/>
      <c r="G93" s="136"/>
      <c r="H93" s="136"/>
      <c r="M93" s="136"/>
      <c r="N93" s="136"/>
      <c r="O93" s="136"/>
    </row>
  </sheetData>
  <printOptions/>
  <pageMargins left="0.75" right="0.75" top="1" bottom="1" header="0.4921259845" footer="0.4921259845"/>
  <pageSetup fitToHeight="1" fitToWidth="1" horizontalDpi="300" verticalDpi="300" orientation="portrait" paperSize="9" scale="41" r:id="rId2"/>
  <headerFooter alignWithMargins="0">
    <oddHeader>&amp;C&amp;A</oddHeader>
    <oddFooter>&amp;C&amp;F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W93"/>
  <sheetViews>
    <sheetView zoomScale="75" zoomScaleNormal="75" workbookViewId="0" topLeftCell="A1">
      <selection activeCell="F37" sqref="F37"/>
    </sheetView>
  </sheetViews>
  <sheetFormatPr defaultColWidth="11.5546875" defaultRowHeight="15"/>
  <cols>
    <col min="1" max="1" width="7.77734375" style="128" customWidth="1"/>
    <col min="2" max="16" width="6.77734375" style="128" customWidth="1"/>
    <col min="17" max="17" width="11.5546875" style="128" customWidth="1" collapsed="1"/>
    <col min="18" max="23" width="11.5546875" style="128" customWidth="1"/>
    <col min="24" max="16384" width="8.88671875" style="128" customWidth="1"/>
  </cols>
  <sheetData>
    <row r="1" spans="1:10" ht="13.5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2" ht="13.5" thickBot="1">
      <c r="A2" s="3"/>
      <c r="B2" s="4"/>
    </row>
    <row r="5" spans="1:7" ht="12.75">
      <c r="A5" s="150"/>
      <c r="B5" s="151"/>
      <c r="C5" s="151"/>
      <c r="D5" s="152"/>
      <c r="G5" s="150"/>
    </row>
    <row r="6" spans="1:3" ht="12" customHeight="1">
      <c r="A6" s="153"/>
      <c r="B6" s="151"/>
      <c r="C6" s="151"/>
    </row>
    <row r="7" spans="2:3" ht="12.75">
      <c r="B7" s="151"/>
      <c r="C7" s="151"/>
    </row>
    <row r="8" spans="1:3" ht="12.75">
      <c r="A8" s="150"/>
      <c r="B8" s="151"/>
      <c r="C8" s="151"/>
    </row>
    <row r="12" spans="1:2" ht="12.75">
      <c r="A12" s="82"/>
      <c r="B12" s="82"/>
    </row>
    <row r="14" spans="1:17" ht="12.75">
      <c r="A14" s="128" t="s">
        <v>27</v>
      </c>
      <c r="I14" s="128" t="s">
        <v>28</v>
      </c>
      <c r="Q14" s="128" t="s">
        <v>32</v>
      </c>
    </row>
    <row r="15" spans="1:18" ht="12.75">
      <c r="A15" s="155" t="s">
        <v>0</v>
      </c>
      <c r="B15" s="156" t="s">
        <v>1</v>
      </c>
      <c r="E15" s="136"/>
      <c r="F15" s="136"/>
      <c r="G15" s="136"/>
      <c r="H15" s="136"/>
      <c r="I15" s="155" t="s">
        <v>0</v>
      </c>
      <c r="J15" s="156" t="s">
        <v>1</v>
      </c>
      <c r="M15" s="136"/>
      <c r="N15" s="136"/>
      <c r="O15" s="136"/>
      <c r="Q15" s="128" t="str">
        <f>+A15</f>
        <v>125 Hz</v>
      </c>
      <c r="R15" s="128" t="str">
        <f>+B15</f>
        <v>octave</v>
      </c>
    </row>
    <row r="16" spans="1:23" ht="12.75">
      <c r="A16" s="142"/>
      <c r="B16" s="140" t="s">
        <v>2</v>
      </c>
      <c r="C16" s="140" t="s">
        <v>3</v>
      </c>
      <c r="D16" s="139" t="s">
        <v>4</v>
      </c>
      <c r="E16" s="139" t="s">
        <v>5</v>
      </c>
      <c r="F16" s="140" t="s">
        <v>6</v>
      </c>
      <c r="G16" s="139" t="s">
        <v>7</v>
      </c>
      <c r="H16" s="141"/>
      <c r="I16" s="142"/>
      <c r="J16" s="140" t="s">
        <v>2</v>
      </c>
      <c r="K16" s="140" t="s">
        <v>3</v>
      </c>
      <c r="L16" s="139" t="s">
        <v>4</v>
      </c>
      <c r="M16" s="139" t="s">
        <v>5</v>
      </c>
      <c r="N16" s="140" t="s">
        <v>6</v>
      </c>
      <c r="O16" s="139" t="s">
        <v>7</v>
      </c>
      <c r="P16" s="157"/>
      <c r="Q16" s="128">
        <f>+A16</f>
        <v>0</v>
      </c>
      <c r="R16" s="128" t="str">
        <f>+B16</f>
        <v>S1R1</v>
      </c>
      <c r="S16" s="128" t="str">
        <f>+C16</f>
        <v>S1R2</v>
      </c>
      <c r="T16" s="128" t="str">
        <f>+D16</f>
        <v>S1R3</v>
      </c>
      <c r="U16" s="128" t="str">
        <f>+E16</f>
        <v>S2R1</v>
      </c>
      <c r="V16" s="128" t="str">
        <f>+F16</f>
        <v>S2R2</v>
      </c>
      <c r="W16" s="128" t="str">
        <f>+G16</f>
        <v>S2R3</v>
      </c>
    </row>
    <row r="17" spans="1:23" ht="12.75">
      <c r="A17" s="130" t="s">
        <v>8</v>
      </c>
      <c r="B17" s="145">
        <v>0.82</v>
      </c>
      <c r="C17" s="143">
        <v>0.83</v>
      </c>
      <c r="D17" s="143">
        <v>0.81</v>
      </c>
      <c r="E17" s="125">
        <v>0.83</v>
      </c>
      <c r="F17" s="143">
        <v>0.84</v>
      </c>
      <c r="G17" s="144">
        <v>0.83</v>
      </c>
      <c r="H17" s="125"/>
      <c r="I17" s="130" t="s">
        <v>8</v>
      </c>
      <c r="J17" s="145">
        <v>0.76</v>
      </c>
      <c r="K17" s="143">
        <v>0.75</v>
      </c>
      <c r="L17" s="143">
        <v>0.76</v>
      </c>
      <c r="M17" s="125">
        <v>0.76</v>
      </c>
      <c r="N17" s="143">
        <v>0.76</v>
      </c>
      <c r="O17" s="144">
        <v>0.76</v>
      </c>
      <c r="P17" s="158"/>
      <c r="Q17" s="128" t="str">
        <f aca="true" t="shared" si="0" ref="Q17:Q25">+A17</f>
        <v>T30/s</v>
      </c>
      <c r="R17" s="127">
        <f aca="true" t="shared" si="1" ref="R17:W25">+B17-J17</f>
        <v>0.05999999999999994</v>
      </c>
      <c r="S17" s="127">
        <f t="shared" si="1"/>
        <v>0.07999999999999996</v>
      </c>
      <c r="T17" s="127">
        <f t="shared" si="1"/>
        <v>0.050000000000000044</v>
      </c>
      <c r="U17" s="127">
        <f t="shared" si="1"/>
        <v>0.06999999999999995</v>
      </c>
      <c r="V17" s="127">
        <f t="shared" si="1"/>
        <v>0.07999999999999996</v>
      </c>
      <c r="W17" s="127">
        <f t="shared" si="1"/>
        <v>0.06999999999999995</v>
      </c>
    </row>
    <row r="18" spans="1:23" ht="12.75">
      <c r="A18" s="130" t="s">
        <v>9</v>
      </c>
      <c r="B18" s="131">
        <v>0.77</v>
      </c>
      <c r="C18" s="125">
        <v>0.77</v>
      </c>
      <c r="D18" s="125">
        <v>0.79</v>
      </c>
      <c r="E18" s="125">
        <v>0.72</v>
      </c>
      <c r="F18" s="125">
        <v>0.79</v>
      </c>
      <c r="G18" s="129">
        <v>0.75</v>
      </c>
      <c r="H18" s="125"/>
      <c r="I18" s="130" t="s">
        <v>9</v>
      </c>
      <c r="J18" s="131">
        <v>0.73</v>
      </c>
      <c r="K18" s="125">
        <v>0.73</v>
      </c>
      <c r="L18" s="125">
        <v>0.76</v>
      </c>
      <c r="M18" s="125">
        <v>0.72</v>
      </c>
      <c r="N18" s="125">
        <v>0.76</v>
      </c>
      <c r="O18" s="129">
        <v>0.72</v>
      </c>
      <c r="P18" s="158"/>
      <c r="Q18" s="128" t="str">
        <f t="shared" si="0"/>
        <v>EDT/s</v>
      </c>
      <c r="R18" s="127">
        <f t="shared" si="1"/>
        <v>0.040000000000000036</v>
      </c>
      <c r="S18" s="127">
        <f t="shared" si="1"/>
        <v>0.040000000000000036</v>
      </c>
      <c r="T18" s="127">
        <f t="shared" si="1"/>
        <v>0.030000000000000027</v>
      </c>
      <c r="U18" s="127">
        <f t="shared" si="1"/>
        <v>0</v>
      </c>
      <c r="V18" s="127">
        <f t="shared" si="1"/>
        <v>0.030000000000000027</v>
      </c>
      <c r="W18" s="127">
        <f t="shared" si="1"/>
        <v>0.030000000000000027</v>
      </c>
    </row>
    <row r="19" spans="1:23" ht="12.75">
      <c r="A19" s="130" t="s">
        <v>10</v>
      </c>
      <c r="B19" s="131">
        <v>63.7</v>
      </c>
      <c r="C19" s="125">
        <v>67.1</v>
      </c>
      <c r="D19" s="125">
        <v>59.9</v>
      </c>
      <c r="E19" s="125">
        <v>68.2</v>
      </c>
      <c r="F19" s="125">
        <v>61.1</v>
      </c>
      <c r="G19" s="129">
        <v>68.4</v>
      </c>
      <c r="H19" s="125"/>
      <c r="I19" s="130" t="s">
        <v>10</v>
      </c>
      <c r="J19" s="131">
        <v>65.9</v>
      </c>
      <c r="K19" s="125">
        <v>68.4</v>
      </c>
      <c r="L19" s="125">
        <v>61.2</v>
      </c>
      <c r="M19" s="125">
        <v>68.3</v>
      </c>
      <c r="N19" s="125">
        <v>63.2</v>
      </c>
      <c r="O19" s="129">
        <v>68.7</v>
      </c>
      <c r="P19" s="158"/>
      <c r="Q19" s="128" t="str">
        <f t="shared" si="0"/>
        <v>D/%</v>
      </c>
      <c r="R19" s="127">
        <f t="shared" si="1"/>
        <v>-2.200000000000003</v>
      </c>
      <c r="S19" s="127">
        <f t="shared" si="1"/>
        <v>-1.3000000000000114</v>
      </c>
      <c r="T19" s="127">
        <f t="shared" si="1"/>
        <v>-1.3000000000000043</v>
      </c>
      <c r="U19" s="127">
        <f t="shared" si="1"/>
        <v>-0.09999999999999432</v>
      </c>
      <c r="V19" s="127">
        <f t="shared" si="1"/>
        <v>-2.1000000000000014</v>
      </c>
      <c r="W19" s="127">
        <f t="shared" si="1"/>
        <v>-0.29999999999999716</v>
      </c>
    </row>
    <row r="20" spans="1:23" ht="12.75">
      <c r="A20" s="130" t="s">
        <v>11</v>
      </c>
      <c r="B20" s="131">
        <v>5.7</v>
      </c>
      <c r="C20" s="125">
        <v>6.2</v>
      </c>
      <c r="D20" s="125">
        <v>5.1</v>
      </c>
      <c r="E20" s="125">
        <v>6.6</v>
      </c>
      <c r="F20" s="125">
        <v>5.3</v>
      </c>
      <c r="G20" s="129">
        <v>6.3</v>
      </c>
      <c r="H20" s="125"/>
      <c r="I20" s="130" t="s">
        <v>11</v>
      </c>
      <c r="J20" s="131">
        <v>6</v>
      </c>
      <c r="K20" s="125">
        <v>6.6</v>
      </c>
      <c r="L20" s="125">
        <v>5.4</v>
      </c>
      <c r="M20" s="125">
        <v>6.6</v>
      </c>
      <c r="N20" s="125">
        <v>5.5</v>
      </c>
      <c r="O20" s="129">
        <v>6.6</v>
      </c>
      <c r="P20" s="158"/>
      <c r="Q20" s="128" t="str">
        <f t="shared" si="0"/>
        <v>C/dB</v>
      </c>
      <c r="R20" s="127">
        <f t="shared" si="1"/>
        <v>-0.2999999999999998</v>
      </c>
      <c r="S20" s="127">
        <f t="shared" si="1"/>
        <v>-0.39999999999999947</v>
      </c>
      <c r="T20" s="127">
        <f t="shared" si="1"/>
        <v>-0.3000000000000007</v>
      </c>
      <c r="U20" s="127">
        <f t="shared" si="1"/>
        <v>0</v>
      </c>
      <c r="V20" s="127">
        <f t="shared" si="1"/>
        <v>-0.20000000000000018</v>
      </c>
      <c r="W20" s="127">
        <f t="shared" si="1"/>
        <v>-0.2999999999999998</v>
      </c>
    </row>
    <row r="21" spans="1:23" ht="12.75">
      <c r="A21" s="130" t="s">
        <v>12</v>
      </c>
      <c r="B21" s="131">
        <v>50.8</v>
      </c>
      <c r="C21" s="125">
        <v>45.8</v>
      </c>
      <c r="D21" s="125">
        <v>55.2</v>
      </c>
      <c r="E21" s="125">
        <v>43.7</v>
      </c>
      <c r="F21" s="125">
        <v>53.4</v>
      </c>
      <c r="G21" s="129">
        <v>44.7</v>
      </c>
      <c r="H21" s="125"/>
      <c r="I21" s="130" t="s">
        <v>12</v>
      </c>
      <c r="J21" s="131">
        <v>48.1</v>
      </c>
      <c r="K21" s="125">
        <v>43.1</v>
      </c>
      <c r="L21" s="125">
        <v>52.8</v>
      </c>
      <c r="M21" s="125">
        <v>42.5</v>
      </c>
      <c r="N21" s="125">
        <v>51.1</v>
      </c>
      <c r="O21" s="129">
        <v>42.8</v>
      </c>
      <c r="P21" s="158"/>
      <c r="Q21" s="128" t="str">
        <f t="shared" si="0"/>
        <v>TS/ms</v>
      </c>
      <c r="R21" s="127">
        <f t="shared" si="1"/>
        <v>2.6999999999999957</v>
      </c>
      <c r="S21" s="127">
        <f t="shared" si="1"/>
        <v>2.6999999999999957</v>
      </c>
      <c r="T21" s="127">
        <f t="shared" si="1"/>
        <v>2.4000000000000057</v>
      </c>
      <c r="U21" s="127">
        <f t="shared" si="1"/>
        <v>1.2000000000000028</v>
      </c>
      <c r="V21" s="127">
        <f t="shared" si="1"/>
        <v>2.299999999999997</v>
      </c>
      <c r="W21" s="127">
        <f t="shared" si="1"/>
        <v>1.9000000000000057</v>
      </c>
    </row>
    <row r="22" spans="1:23" ht="12.75">
      <c r="A22" s="130" t="s">
        <v>13</v>
      </c>
      <c r="B22" s="131">
        <v>18.1</v>
      </c>
      <c r="C22" s="125">
        <v>19</v>
      </c>
      <c r="D22" s="125">
        <v>17.7</v>
      </c>
      <c r="E22" s="125">
        <v>19.1</v>
      </c>
      <c r="F22" s="125">
        <v>17.9</v>
      </c>
      <c r="G22" s="129">
        <v>19.3</v>
      </c>
      <c r="H22" s="125"/>
      <c r="I22" s="130" t="s">
        <v>13</v>
      </c>
      <c r="J22" s="131">
        <v>18.1</v>
      </c>
      <c r="K22" s="125">
        <v>18.9</v>
      </c>
      <c r="L22" s="125">
        <v>17.7</v>
      </c>
      <c r="M22" s="125">
        <v>19</v>
      </c>
      <c r="N22" s="125">
        <v>17.9</v>
      </c>
      <c r="O22" s="129">
        <v>19.2</v>
      </c>
      <c r="P22" s="158"/>
      <c r="Q22" s="128" t="str">
        <f t="shared" si="0"/>
        <v>G/dB</v>
      </c>
      <c r="R22" s="127">
        <f t="shared" si="1"/>
        <v>0</v>
      </c>
      <c r="S22" s="127">
        <f t="shared" si="1"/>
        <v>0.10000000000000142</v>
      </c>
      <c r="T22" s="127">
        <f t="shared" si="1"/>
        <v>0</v>
      </c>
      <c r="U22" s="127">
        <f t="shared" si="1"/>
        <v>0.10000000000000142</v>
      </c>
      <c r="V22" s="127">
        <f t="shared" si="1"/>
        <v>0</v>
      </c>
      <c r="W22" s="127">
        <f t="shared" si="1"/>
        <v>0.10000000000000142</v>
      </c>
    </row>
    <row r="23" spans="1:23" ht="12.75">
      <c r="A23" s="130" t="s">
        <v>14</v>
      </c>
      <c r="B23" s="131"/>
      <c r="C23" s="125"/>
      <c r="D23" s="125"/>
      <c r="E23" s="125"/>
      <c r="F23" s="125"/>
      <c r="G23" s="129"/>
      <c r="H23" s="125"/>
      <c r="I23" s="130" t="s">
        <v>14</v>
      </c>
      <c r="J23" s="131"/>
      <c r="K23" s="125"/>
      <c r="L23" s="125"/>
      <c r="M23" s="125"/>
      <c r="N23" s="125"/>
      <c r="O23" s="129"/>
      <c r="Q23" s="128" t="str">
        <f t="shared" si="0"/>
        <v>LF/%</v>
      </c>
      <c r="R23" s="127">
        <f t="shared" si="1"/>
        <v>0</v>
      </c>
      <c r="S23" s="127">
        <f t="shared" si="1"/>
        <v>0</v>
      </c>
      <c r="T23" s="127">
        <f t="shared" si="1"/>
        <v>0</v>
      </c>
      <c r="U23" s="127">
        <f t="shared" si="1"/>
        <v>0</v>
      </c>
      <c r="V23" s="127">
        <f t="shared" si="1"/>
        <v>0</v>
      </c>
      <c r="W23" s="127">
        <f t="shared" si="1"/>
        <v>0</v>
      </c>
    </row>
    <row r="24" spans="1:23" ht="12.75">
      <c r="A24" s="130" t="s">
        <v>15</v>
      </c>
      <c r="B24" s="131"/>
      <c r="C24" s="125"/>
      <c r="D24" s="125"/>
      <c r="E24" s="125"/>
      <c r="F24" s="125"/>
      <c r="G24" s="129"/>
      <c r="H24" s="125"/>
      <c r="I24" s="130" t="s">
        <v>15</v>
      </c>
      <c r="J24" s="131"/>
      <c r="K24" s="125"/>
      <c r="L24" s="125"/>
      <c r="M24" s="125"/>
      <c r="N24" s="125"/>
      <c r="O24" s="129"/>
      <c r="Q24" s="128" t="str">
        <f t="shared" si="0"/>
        <v>LFC/%</v>
      </c>
      <c r="R24" s="127">
        <f t="shared" si="1"/>
        <v>0</v>
      </c>
      <c r="S24" s="127">
        <f t="shared" si="1"/>
        <v>0</v>
      </c>
      <c r="T24" s="127">
        <f t="shared" si="1"/>
        <v>0</v>
      </c>
      <c r="U24" s="127">
        <f t="shared" si="1"/>
        <v>0</v>
      </c>
      <c r="V24" s="127">
        <f t="shared" si="1"/>
        <v>0</v>
      </c>
      <c r="W24" s="127">
        <f t="shared" si="1"/>
        <v>0</v>
      </c>
    </row>
    <row r="25" spans="1:23" ht="12.75">
      <c r="A25" s="134" t="s">
        <v>16</v>
      </c>
      <c r="B25" s="135"/>
      <c r="C25" s="132"/>
      <c r="D25" s="132"/>
      <c r="E25" s="132"/>
      <c r="F25" s="132"/>
      <c r="G25" s="133"/>
      <c r="H25" s="125"/>
      <c r="I25" s="134" t="s">
        <v>16</v>
      </c>
      <c r="J25" s="135"/>
      <c r="K25" s="132"/>
      <c r="L25" s="132"/>
      <c r="M25" s="132"/>
      <c r="N25" s="132"/>
      <c r="O25" s="133"/>
      <c r="Q25" s="128" t="str">
        <f t="shared" si="0"/>
        <v>IACC</v>
      </c>
      <c r="R25" s="127">
        <f t="shared" si="1"/>
        <v>0</v>
      </c>
      <c r="S25" s="127">
        <f t="shared" si="1"/>
        <v>0</v>
      </c>
      <c r="T25" s="127">
        <f t="shared" si="1"/>
        <v>0</v>
      </c>
      <c r="U25" s="127">
        <f t="shared" si="1"/>
        <v>0</v>
      </c>
      <c r="V25" s="127">
        <f t="shared" si="1"/>
        <v>0</v>
      </c>
      <c r="W25" s="127">
        <f t="shared" si="1"/>
        <v>0</v>
      </c>
    </row>
    <row r="26" spans="5:15" ht="12.75">
      <c r="E26" s="136"/>
      <c r="F26" s="136"/>
      <c r="G26" s="136"/>
      <c r="H26" s="136"/>
      <c r="M26" s="136"/>
      <c r="N26" s="136"/>
      <c r="O26" s="136"/>
    </row>
    <row r="27" spans="1:18" ht="12.75">
      <c r="A27" s="155" t="s">
        <v>17</v>
      </c>
      <c r="B27" s="156" t="s">
        <v>1</v>
      </c>
      <c r="E27" s="136"/>
      <c r="F27" s="136"/>
      <c r="G27" s="136"/>
      <c r="H27" s="136"/>
      <c r="I27" s="155" t="s">
        <v>17</v>
      </c>
      <c r="J27" s="156" t="s">
        <v>1</v>
      </c>
      <c r="M27" s="136"/>
      <c r="N27" s="136"/>
      <c r="O27" s="136"/>
      <c r="Q27" s="128" t="str">
        <f>+A27</f>
        <v>250 Hz</v>
      </c>
      <c r="R27" s="128" t="str">
        <f>+B27</f>
        <v>octave</v>
      </c>
    </row>
    <row r="28" spans="1:23" ht="12.75">
      <c r="A28" s="142"/>
      <c r="B28" s="140" t="s">
        <v>2</v>
      </c>
      <c r="C28" s="140" t="s">
        <v>3</v>
      </c>
      <c r="D28" s="139" t="s">
        <v>4</v>
      </c>
      <c r="E28" s="139" t="s">
        <v>5</v>
      </c>
      <c r="F28" s="140" t="s">
        <v>6</v>
      </c>
      <c r="G28" s="139" t="s">
        <v>7</v>
      </c>
      <c r="H28" s="141"/>
      <c r="I28" s="142"/>
      <c r="J28" s="140" t="s">
        <v>2</v>
      </c>
      <c r="K28" s="140" t="s">
        <v>3</v>
      </c>
      <c r="L28" s="139" t="s">
        <v>4</v>
      </c>
      <c r="M28" s="139" t="s">
        <v>5</v>
      </c>
      <c r="N28" s="140" t="s">
        <v>6</v>
      </c>
      <c r="O28" s="139" t="s">
        <v>7</v>
      </c>
      <c r="Q28" s="128">
        <f>+A28</f>
        <v>0</v>
      </c>
      <c r="R28" s="128" t="str">
        <f>+B28</f>
        <v>S1R1</v>
      </c>
      <c r="S28" s="128" t="str">
        <f>+C28</f>
        <v>S1R2</v>
      </c>
      <c r="T28" s="128" t="str">
        <f>+D28</f>
        <v>S1R3</v>
      </c>
      <c r="U28" s="128" t="str">
        <f>+E28</f>
        <v>S2R1</v>
      </c>
      <c r="V28" s="128" t="str">
        <f>+F28</f>
        <v>S2R2</v>
      </c>
      <c r="W28" s="128" t="str">
        <f>+G28</f>
        <v>S2R3</v>
      </c>
    </row>
    <row r="29" spans="1:23" ht="12.75">
      <c r="A29" s="130" t="s">
        <v>8</v>
      </c>
      <c r="B29" s="145">
        <v>1.03</v>
      </c>
      <c r="C29" s="143">
        <v>1.02</v>
      </c>
      <c r="D29" s="143">
        <v>1.02</v>
      </c>
      <c r="E29" s="125">
        <v>1.03</v>
      </c>
      <c r="F29" s="143">
        <v>1.03</v>
      </c>
      <c r="G29" s="144">
        <v>1.03</v>
      </c>
      <c r="H29" s="125"/>
      <c r="I29" s="130" t="s">
        <v>8</v>
      </c>
      <c r="J29" s="145">
        <v>0.83</v>
      </c>
      <c r="K29" s="143">
        <v>0.81</v>
      </c>
      <c r="L29" s="143">
        <v>0.83</v>
      </c>
      <c r="M29" s="125">
        <v>0.82</v>
      </c>
      <c r="N29" s="143">
        <v>0.82</v>
      </c>
      <c r="O29" s="144">
        <v>0.83</v>
      </c>
      <c r="Q29" s="128" t="str">
        <f aca="true" t="shared" si="2" ref="Q29:Q37">+A29</f>
        <v>T30/s</v>
      </c>
      <c r="R29" s="127">
        <f aca="true" t="shared" si="3" ref="R29:W37">+B29-J29</f>
        <v>0.20000000000000007</v>
      </c>
      <c r="S29" s="127">
        <f t="shared" si="3"/>
        <v>0.20999999999999996</v>
      </c>
      <c r="T29" s="127">
        <f t="shared" si="3"/>
        <v>0.19000000000000006</v>
      </c>
      <c r="U29" s="127">
        <f t="shared" si="3"/>
        <v>0.21000000000000008</v>
      </c>
      <c r="V29" s="127">
        <f t="shared" si="3"/>
        <v>0.21000000000000008</v>
      </c>
      <c r="W29" s="127">
        <f t="shared" si="3"/>
        <v>0.20000000000000007</v>
      </c>
    </row>
    <row r="30" spans="1:23" ht="12.75">
      <c r="A30" s="130" t="s">
        <v>9</v>
      </c>
      <c r="B30" s="131">
        <v>0.95</v>
      </c>
      <c r="C30" s="125">
        <v>0.93</v>
      </c>
      <c r="D30" s="125">
        <v>0.97</v>
      </c>
      <c r="E30" s="125">
        <v>0.91</v>
      </c>
      <c r="F30" s="125">
        <v>0.97</v>
      </c>
      <c r="G30" s="129">
        <v>0.92</v>
      </c>
      <c r="H30" s="125"/>
      <c r="I30" s="130" t="s">
        <v>9</v>
      </c>
      <c r="J30" s="131">
        <v>0.78</v>
      </c>
      <c r="K30" s="125">
        <v>0.77</v>
      </c>
      <c r="L30" s="125">
        <v>0.8</v>
      </c>
      <c r="M30" s="125">
        <v>0.77</v>
      </c>
      <c r="N30" s="125">
        <v>0.81</v>
      </c>
      <c r="O30" s="129">
        <v>0.77</v>
      </c>
      <c r="Q30" s="128" t="str">
        <f t="shared" si="2"/>
        <v>EDT/s</v>
      </c>
      <c r="R30" s="127">
        <f t="shared" si="3"/>
        <v>0.16999999999999993</v>
      </c>
      <c r="S30" s="127">
        <f t="shared" si="3"/>
        <v>0.16000000000000003</v>
      </c>
      <c r="T30" s="127">
        <f t="shared" si="3"/>
        <v>0.16999999999999993</v>
      </c>
      <c r="U30" s="127">
        <f t="shared" si="3"/>
        <v>0.14</v>
      </c>
      <c r="V30" s="127">
        <f t="shared" si="3"/>
        <v>0.15999999999999992</v>
      </c>
      <c r="W30" s="127">
        <f t="shared" si="3"/>
        <v>0.15000000000000002</v>
      </c>
    </row>
    <row r="31" spans="1:23" ht="12.75">
      <c r="A31" s="130" t="s">
        <v>10</v>
      </c>
      <c r="B31" s="131">
        <v>56</v>
      </c>
      <c r="C31" s="125">
        <v>59.8</v>
      </c>
      <c r="D31" s="125">
        <v>52.1</v>
      </c>
      <c r="E31" s="125">
        <v>60.8</v>
      </c>
      <c r="F31" s="125">
        <v>53.4</v>
      </c>
      <c r="G31" s="129">
        <v>60.7</v>
      </c>
      <c r="H31" s="125"/>
      <c r="I31" s="130" t="s">
        <v>10</v>
      </c>
      <c r="J31" s="131">
        <v>63.5</v>
      </c>
      <c r="K31" s="125">
        <v>66.2</v>
      </c>
      <c r="L31" s="125">
        <v>58</v>
      </c>
      <c r="M31" s="125">
        <v>65.7</v>
      </c>
      <c r="N31" s="125">
        <v>60.3</v>
      </c>
      <c r="O31" s="129">
        <v>65.9</v>
      </c>
      <c r="Q31" s="128" t="str">
        <f t="shared" si="2"/>
        <v>D/%</v>
      </c>
      <c r="R31" s="127">
        <f t="shared" si="3"/>
        <v>-7.5</v>
      </c>
      <c r="S31" s="127">
        <f t="shared" si="3"/>
        <v>-6.400000000000006</v>
      </c>
      <c r="T31" s="127">
        <f t="shared" si="3"/>
        <v>-5.899999999999999</v>
      </c>
      <c r="U31" s="127">
        <f t="shared" si="3"/>
        <v>-4.900000000000006</v>
      </c>
      <c r="V31" s="127">
        <f t="shared" si="3"/>
        <v>-6.899999999999999</v>
      </c>
      <c r="W31" s="127">
        <f t="shared" si="3"/>
        <v>-5.200000000000003</v>
      </c>
    </row>
    <row r="32" spans="1:23" ht="12.75">
      <c r="A32" s="130" t="s">
        <v>11</v>
      </c>
      <c r="B32" s="131">
        <v>3.9</v>
      </c>
      <c r="C32" s="125">
        <v>4.5</v>
      </c>
      <c r="D32" s="125">
        <v>3.4</v>
      </c>
      <c r="E32" s="125">
        <v>4.8</v>
      </c>
      <c r="F32" s="125">
        <v>3.6</v>
      </c>
      <c r="G32" s="129">
        <v>4.6</v>
      </c>
      <c r="H32" s="125"/>
      <c r="I32" s="130" t="s">
        <v>11</v>
      </c>
      <c r="J32" s="131">
        <v>5.5</v>
      </c>
      <c r="K32" s="125">
        <v>6</v>
      </c>
      <c r="L32" s="125">
        <v>4.7</v>
      </c>
      <c r="M32" s="125">
        <v>6</v>
      </c>
      <c r="N32" s="125">
        <v>4.8</v>
      </c>
      <c r="O32" s="129">
        <v>6</v>
      </c>
      <c r="Q32" s="128" t="str">
        <f t="shared" si="2"/>
        <v>C/dB</v>
      </c>
      <c r="R32" s="127">
        <f t="shared" si="3"/>
        <v>-1.6</v>
      </c>
      <c r="S32" s="127">
        <f t="shared" si="3"/>
        <v>-1.5</v>
      </c>
      <c r="T32" s="127">
        <f t="shared" si="3"/>
        <v>-1.3000000000000003</v>
      </c>
      <c r="U32" s="127">
        <f t="shared" si="3"/>
        <v>-1.2000000000000002</v>
      </c>
      <c r="V32" s="127">
        <f t="shared" si="3"/>
        <v>-1.1999999999999997</v>
      </c>
      <c r="W32" s="127">
        <f t="shared" si="3"/>
        <v>-1.4000000000000004</v>
      </c>
    </row>
    <row r="33" spans="1:23" ht="12.75">
      <c r="A33" s="130" t="s">
        <v>12</v>
      </c>
      <c r="B33" s="131">
        <v>65.3</v>
      </c>
      <c r="C33" s="125">
        <v>58.7</v>
      </c>
      <c r="D33" s="125">
        <v>69.9</v>
      </c>
      <c r="E33" s="125">
        <v>56.4</v>
      </c>
      <c r="F33" s="125">
        <v>68</v>
      </c>
      <c r="G33" s="129">
        <v>57.5</v>
      </c>
      <c r="H33" s="125"/>
      <c r="I33" s="130" t="s">
        <v>12</v>
      </c>
      <c r="J33" s="131">
        <v>52.7</v>
      </c>
      <c r="K33" s="125">
        <v>47</v>
      </c>
      <c r="L33" s="125">
        <v>58</v>
      </c>
      <c r="M33" s="125">
        <v>46.7</v>
      </c>
      <c r="N33" s="125">
        <v>56.2</v>
      </c>
      <c r="O33" s="129">
        <v>47.3</v>
      </c>
      <c r="Q33" s="128" t="str">
        <f t="shared" si="2"/>
        <v>TS/ms</v>
      </c>
      <c r="R33" s="127">
        <f t="shared" si="3"/>
        <v>12.599999999999994</v>
      </c>
      <c r="S33" s="127">
        <f t="shared" si="3"/>
        <v>11.700000000000003</v>
      </c>
      <c r="T33" s="127">
        <f t="shared" si="3"/>
        <v>11.900000000000006</v>
      </c>
      <c r="U33" s="127">
        <f t="shared" si="3"/>
        <v>9.699999999999996</v>
      </c>
      <c r="V33" s="127">
        <f t="shared" si="3"/>
        <v>11.799999999999997</v>
      </c>
      <c r="W33" s="127">
        <f t="shared" si="3"/>
        <v>10.200000000000003</v>
      </c>
    </row>
    <row r="34" spans="1:23" ht="12.75">
      <c r="A34" s="130" t="s">
        <v>13</v>
      </c>
      <c r="B34" s="131">
        <v>18.9</v>
      </c>
      <c r="C34" s="125">
        <v>19.8</v>
      </c>
      <c r="D34" s="125">
        <v>18.7</v>
      </c>
      <c r="E34" s="125">
        <v>19.9</v>
      </c>
      <c r="F34" s="125">
        <v>18.9</v>
      </c>
      <c r="G34" s="129">
        <v>20.1</v>
      </c>
      <c r="H34" s="125"/>
      <c r="I34" s="130" t="s">
        <v>13</v>
      </c>
      <c r="J34" s="131">
        <v>18.2</v>
      </c>
      <c r="K34" s="125">
        <v>19.2</v>
      </c>
      <c r="L34" s="125">
        <v>18.1</v>
      </c>
      <c r="M34" s="125">
        <v>19.2</v>
      </c>
      <c r="N34" s="125">
        <v>18.3</v>
      </c>
      <c r="O34" s="129">
        <v>19.5</v>
      </c>
      <c r="Q34" s="128" t="str">
        <f t="shared" si="2"/>
        <v>G/dB</v>
      </c>
      <c r="R34" s="127">
        <f t="shared" si="3"/>
        <v>0.6999999999999993</v>
      </c>
      <c r="S34" s="127">
        <f t="shared" si="3"/>
        <v>0.6000000000000014</v>
      </c>
      <c r="T34" s="127">
        <f t="shared" si="3"/>
        <v>0.5999999999999979</v>
      </c>
      <c r="U34" s="127">
        <f t="shared" si="3"/>
        <v>0.6999999999999993</v>
      </c>
      <c r="V34" s="127">
        <f t="shared" si="3"/>
        <v>0.5999999999999979</v>
      </c>
      <c r="W34" s="127">
        <f t="shared" si="3"/>
        <v>0.6000000000000014</v>
      </c>
    </row>
    <row r="35" spans="1:23" ht="12.75">
      <c r="A35" s="130" t="s">
        <v>14</v>
      </c>
      <c r="B35" s="131"/>
      <c r="C35" s="125"/>
      <c r="D35" s="125"/>
      <c r="E35" s="125"/>
      <c r="F35" s="125"/>
      <c r="G35" s="129"/>
      <c r="H35" s="125"/>
      <c r="I35" s="130" t="s">
        <v>14</v>
      </c>
      <c r="J35" s="131"/>
      <c r="K35" s="125"/>
      <c r="L35" s="125"/>
      <c r="M35" s="125"/>
      <c r="N35" s="125"/>
      <c r="O35" s="129"/>
      <c r="Q35" s="128" t="str">
        <f t="shared" si="2"/>
        <v>LF/%</v>
      </c>
      <c r="R35" s="127">
        <f t="shared" si="3"/>
        <v>0</v>
      </c>
      <c r="S35" s="127">
        <f t="shared" si="3"/>
        <v>0</v>
      </c>
      <c r="T35" s="127">
        <f t="shared" si="3"/>
        <v>0</v>
      </c>
      <c r="U35" s="127">
        <f t="shared" si="3"/>
        <v>0</v>
      </c>
      <c r="V35" s="127">
        <f t="shared" si="3"/>
        <v>0</v>
      </c>
      <c r="W35" s="127">
        <f t="shared" si="3"/>
        <v>0</v>
      </c>
    </row>
    <row r="36" spans="1:23" ht="12.75">
      <c r="A36" s="130" t="s">
        <v>15</v>
      </c>
      <c r="B36" s="131"/>
      <c r="C36" s="125"/>
      <c r="D36" s="125"/>
      <c r="E36" s="125"/>
      <c r="F36" s="125"/>
      <c r="G36" s="129"/>
      <c r="H36" s="125"/>
      <c r="I36" s="130" t="s">
        <v>15</v>
      </c>
      <c r="J36" s="131"/>
      <c r="K36" s="125"/>
      <c r="L36" s="125"/>
      <c r="M36" s="125"/>
      <c r="N36" s="125"/>
      <c r="O36" s="129"/>
      <c r="Q36" s="128" t="str">
        <f t="shared" si="2"/>
        <v>LFC/%</v>
      </c>
      <c r="R36" s="127">
        <f t="shared" si="3"/>
        <v>0</v>
      </c>
      <c r="S36" s="127">
        <f t="shared" si="3"/>
        <v>0</v>
      </c>
      <c r="T36" s="127">
        <f t="shared" si="3"/>
        <v>0</v>
      </c>
      <c r="U36" s="127">
        <f t="shared" si="3"/>
        <v>0</v>
      </c>
      <c r="V36" s="127">
        <f t="shared" si="3"/>
        <v>0</v>
      </c>
      <c r="W36" s="127">
        <f t="shared" si="3"/>
        <v>0</v>
      </c>
    </row>
    <row r="37" spans="1:23" ht="12.75">
      <c r="A37" s="134" t="s">
        <v>16</v>
      </c>
      <c r="B37" s="135"/>
      <c r="C37" s="132"/>
      <c r="D37" s="132"/>
      <c r="E37" s="132"/>
      <c r="F37" s="132"/>
      <c r="G37" s="133"/>
      <c r="H37" s="125"/>
      <c r="I37" s="134" t="s">
        <v>16</v>
      </c>
      <c r="J37" s="135"/>
      <c r="K37" s="132"/>
      <c r="L37" s="132"/>
      <c r="M37" s="132"/>
      <c r="N37" s="132"/>
      <c r="O37" s="133"/>
      <c r="Q37" s="128" t="str">
        <f t="shared" si="2"/>
        <v>IACC</v>
      </c>
      <c r="R37" s="127">
        <f t="shared" si="3"/>
        <v>0</v>
      </c>
      <c r="S37" s="127">
        <f t="shared" si="3"/>
        <v>0</v>
      </c>
      <c r="T37" s="127">
        <f t="shared" si="3"/>
        <v>0</v>
      </c>
      <c r="U37" s="127">
        <f t="shared" si="3"/>
        <v>0</v>
      </c>
      <c r="V37" s="127">
        <f t="shared" si="3"/>
        <v>0</v>
      </c>
      <c r="W37" s="127">
        <f t="shared" si="3"/>
        <v>0</v>
      </c>
    </row>
    <row r="38" spans="5:15" ht="12.75">
      <c r="E38" s="136"/>
      <c r="F38" s="136"/>
      <c r="G38" s="136"/>
      <c r="H38" s="136"/>
      <c r="M38" s="136"/>
      <c r="N38" s="136"/>
      <c r="O38" s="136"/>
    </row>
    <row r="39" spans="1:18" ht="12.75">
      <c r="A39" s="155" t="s">
        <v>18</v>
      </c>
      <c r="B39" s="156" t="s">
        <v>1</v>
      </c>
      <c r="E39" s="136"/>
      <c r="F39" s="136"/>
      <c r="G39" s="136"/>
      <c r="H39" s="136"/>
      <c r="I39" s="155" t="s">
        <v>18</v>
      </c>
      <c r="J39" s="156" t="s">
        <v>1</v>
      </c>
      <c r="M39" s="136"/>
      <c r="N39" s="136"/>
      <c r="O39" s="136"/>
      <c r="Q39" s="128" t="str">
        <f>+A39</f>
        <v>500 Hz</v>
      </c>
      <c r="R39" s="128" t="str">
        <f>+B39</f>
        <v>octave</v>
      </c>
    </row>
    <row r="40" spans="1:23" ht="12.75">
      <c r="A40" s="142"/>
      <c r="B40" s="140" t="s">
        <v>2</v>
      </c>
      <c r="C40" s="140" t="s">
        <v>3</v>
      </c>
      <c r="D40" s="139" t="s">
        <v>4</v>
      </c>
      <c r="E40" s="139" t="s">
        <v>5</v>
      </c>
      <c r="F40" s="140" t="s">
        <v>6</v>
      </c>
      <c r="G40" s="139" t="s">
        <v>7</v>
      </c>
      <c r="H40" s="141"/>
      <c r="I40" s="142"/>
      <c r="J40" s="140" t="s">
        <v>2</v>
      </c>
      <c r="K40" s="140" t="s">
        <v>3</v>
      </c>
      <c r="L40" s="139" t="s">
        <v>4</v>
      </c>
      <c r="M40" s="139" t="s">
        <v>5</v>
      </c>
      <c r="N40" s="140" t="s">
        <v>6</v>
      </c>
      <c r="O40" s="139" t="s">
        <v>7</v>
      </c>
      <c r="Q40" s="128">
        <f>+A40</f>
        <v>0</v>
      </c>
      <c r="R40" s="128" t="str">
        <f>+B40</f>
        <v>S1R1</v>
      </c>
      <c r="S40" s="128" t="str">
        <f>+C40</f>
        <v>S1R2</v>
      </c>
      <c r="T40" s="128" t="str">
        <f>+D40</f>
        <v>S1R3</v>
      </c>
      <c r="U40" s="128" t="str">
        <f>+E40</f>
        <v>S2R1</v>
      </c>
      <c r="V40" s="128" t="str">
        <f>+F40</f>
        <v>S2R2</v>
      </c>
      <c r="W40" s="128" t="str">
        <f>+G40</f>
        <v>S2R3</v>
      </c>
    </row>
    <row r="41" spans="1:23" ht="12.75">
      <c r="A41" s="130" t="s">
        <v>8</v>
      </c>
      <c r="B41" s="145">
        <v>1.04</v>
      </c>
      <c r="C41" s="143">
        <v>1.03</v>
      </c>
      <c r="D41" s="143">
        <v>1.04</v>
      </c>
      <c r="E41" s="125">
        <v>1.04</v>
      </c>
      <c r="F41" s="143">
        <v>1.03</v>
      </c>
      <c r="G41" s="144">
        <v>1.03</v>
      </c>
      <c r="H41" s="125"/>
      <c r="I41" s="130" t="s">
        <v>8</v>
      </c>
      <c r="J41" s="145">
        <v>0.84</v>
      </c>
      <c r="K41" s="143">
        <v>0.83</v>
      </c>
      <c r="L41" s="143">
        <v>0.84</v>
      </c>
      <c r="M41" s="125">
        <v>0.82</v>
      </c>
      <c r="N41" s="143">
        <v>0.82</v>
      </c>
      <c r="O41" s="144">
        <v>0.83</v>
      </c>
      <c r="Q41" s="128" t="str">
        <f aca="true" t="shared" si="4" ref="Q41:Q49">+A41</f>
        <v>T30/s</v>
      </c>
      <c r="R41" s="127">
        <f aca="true" t="shared" si="5" ref="R41:W49">+B41-J41</f>
        <v>0.20000000000000007</v>
      </c>
      <c r="S41" s="127">
        <f t="shared" si="5"/>
        <v>0.20000000000000007</v>
      </c>
      <c r="T41" s="127">
        <f t="shared" si="5"/>
        <v>0.20000000000000007</v>
      </c>
      <c r="U41" s="127">
        <f t="shared" si="5"/>
        <v>0.22000000000000008</v>
      </c>
      <c r="V41" s="127">
        <f t="shared" si="5"/>
        <v>0.21000000000000008</v>
      </c>
      <c r="W41" s="127">
        <f t="shared" si="5"/>
        <v>0.20000000000000007</v>
      </c>
    </row>
    <row r="42" spans="1:23" ht="12.75">
      <c r="A42" s="130" t="s">
        <v>9</v>
      </c>
      <c r="B42" s="131">
        <v>0.97</v>
      </c>
      <c r="C42" s="125">
        <v>0.95</v>
      </c>
      <c r="D42" s="125">
        <v>0.98</v>
      </c>
      <c r="E42" s="125">
        <v>0.93</v>
      </c>
      <c r="F42" s="125">
        <v>0.98</v>
      </c>
      <c r="G42" s="129">
        <v>0.93</v>
      </c>
      <c r="H42" s="125"/>
      <c r="I42" s="130" t="s">
        <v>9</v>
      </c>
      <c r="J42" s="131">
        <v>0.78</v>
      </c>
      <c r="K42" s="125">
        <v>0.78</v>
      </c>
      <c r="L42" s="125">
        <v>0.8</v>
      </c>
      <c r="M42" s="125">
        <v>0.78</v>
      </c>
      <c r="N42" s="125">
        <v>0.82</v>
      </c>
      <c r="O42" s="129">
        <v>0.77</v>
      </c>
      <c r="Q42" s="128" t="str">
        <f t="shared" si="4"/>
        <v>EDT/s</v>
      </c>
      <c r="R42" s="127">
        <f t="shared" si="5"/>
        <v>0.18999999999999995</v>
      </c>
      <c r="S42" s="127">
        <f t="shared" si="5"/>
        <v>0.16999999999999993</v>
      </c>
      <c r="T42" s="127">
        <f t="shared" si="5"/>
        <v>0.17999999999999994</v>
      </c>
      <c r="U42" s="127">
        <f t="shared" si="5"/>
        <v>0.15000000000000002</v>
      </c>
      <c r="V42" s="127">
        <f t="shared" si="5"/>
        <v>0.16000000000000003</v>
      </c>
      <c r="W42" s="127">
        <f t="shared" si="5"/>
        <v>0.16000000000000003</v>
      </c>
    </row>
    <row r="43" spans="1:23" ht="12.75">
      <c r="A43" s="130" t="s">
        <v>10</v>
      </c>
      <c r="B43" s="131">
        <v>55.6</v>
      </c>
      <c r="C43" s="125">
        <v>58.8</v>
      </c>
      <c r="D43" s="125">
        <v>51.2</v>
      </c>
      <c r="E43" s="125">
        <v>60.6</v>
      </c>
      <c r="F43" s="125">
        <v>52.7</v>
      </c>
      <c r="G43" s="129">
        <v>60.4</v>
      </c>
      <c r="H43" s="125"/>
      <c r="I43" s="130" t="s">
        <v>10</v>
      </c>
      <c r="J43" s="131">
        <v>63.4</v>
      </c>
      <c r="K43" s="125">
        <v>65.8</v>
      </c>
      <c r="L43" s="125">
        <v>58.2</v>
      </c>
      <c r="M43" s="125">
        <v>65.6</v>
      </c>
      <c r="N43" s="125">
        <v>59.9</v>
      </c>
      <c r="O43" s="129">
        <v>65.8</v>
      </c>
      <c r="Q43" s="128" t="str">
        <f t="shared" si="4"/>
        <v>D/%</v>
      </c>
      <c r="R43" s="127">
        <f t="shared" si="5"/>
        <v>-7.799999999999997</v>
      </c>
      <c r="S43" s="127">
        <f t="shared" si="5"/>
        <v>-7</v>
      </c>
      <c r="T43" s="127">
        <f t="shared" si="5"/>
        <v>-7</v>
      </c>
      <c r="U43" s="127">
        <f t="shared" si="5"/>
        <v>-4.999999999999993</v>
      </c>
      <c r="V43" s="127">
        <f t="shared" si="5"/>
        <v>-7.199999999999996</v>
      </c>
      <c r="W43" s="127">
        <f t="shared" si="5"/>
        <v>-5.399999999999999</v>
      </c>
    </row>
    <row r="44" spans="1:23" ht="12.75">
      <c r="A44" s="130" t="s">
        <v>11</v>
      </c>
      <c r="B44" s="131">
        <v>3.8</v>
      </c>
      <c r="C44" s="125">
        <v>4.3</v>
      </c>
      <c r="D44" s="125">
        <v>3.2</v>
      </c>
      <c r="E44" s="125">
        <v>4.8</v>
      </c>
      <c r="F44" s="125">
        <v>3.4</v>
      </c>
      <c r="G44" s="129">
        <v>4.5</v>
      </c>
      <c r="H44" s="125"/>
      <c r="I44" s="130" t="s">
        <v>11</v>
      </c>
      <c r="J44" s="131">
        <v>5.4</v>
      </c>
      <c r="K44" s="125">
        <v>6</v>
      </c>
      <c r="L44" s="125">
        <v>4.7</v>
      </c>
      <c r="M44" s="125">
        <v>6</v>
      </c>
      <c r="N44" s="125">
        <v>4.7</v>
      </c>
      <c r="O44" s="129">
        <v>5.9</v>
      </c>
      <c r="Q44" s="128" t="str">
        <f t="shared" si="4"/>
        <v>C/dB</v>
      </c>
      <c r="R44" s="127">
        <f t="shared" si="5"/>
        <v>-1.6000000000000005</v>
      </c>
      <c r="S44" s="127">
        <f t="shared" si="5"/>
        <v>-1.7000000000000002</v>
      </c>
      <c r="T44" s="127">
        <f t="shared" si="5"/>
        <v>-1.5</v>
      </c>
      <c r="U44" s="127">
        <f t="shared" si="5"/>
        <v>-1.2000000000000002</v>
      </c>
      <c r="V44" s="127">
        <f t="shared" si="5"/>
        <v>-1.3000000000000003</v>
      </c>
      <c r="W44" s="127">
        <f t="shared" si="5"/>
        <v>-1.4000000000000004</v>
      </c>
    </row>
    <row r="45" spans="1:23" ht="12.75">
      <c r="A45" s="130" t="s">
        <v>12</v>
      </c>
      <c r="B45" s="131">
        <v>66.5</v>
      </c>
      <c r="C45" s="125">
        <v>60.3</v>
      </c>
      <c r="D45" s="125">
        <v>71.4</v>
      </c>
      <c r="E45" s="125">
        <v>57.1</v>
      </c>
      <c r="F45" s="125">
        <v>69.4</v>
      </c>
      <c r="G45" s="129">
        <v>58.3</v>
      </c>
      <c r="H45" s="125"/>
      <c r="I45" s="130" t="s">
        <v>12</v>
      </c>
      <c r="J45" s="131">
        <v>53</v>
      </c>
      <c r="K45" s="125">
        <v>47.6</v>
      </c>
      <c r="L45" s="125">
        <v>58</v>
      </c>
      <c r="M45" s="125">
        <v>46.8</v>
      </c>
      <c r="N45" s="125">
        <v>56.9</v>
      </c>
      <c r="O45" s="129">
        <v>47.5</v>
      </c>
      <c r="Q45" s="128" t="str">
        <f t="shared" si="4"/>
        <v>TS/ms</v>
      </c>
      <c r="R45" s="127">
        <f t="shared" si="5"/>
        <v>13.5</v>
      </c>
      <c r="S45" s="127">
        <f t="shared" si="5"/>
        <v>12.699999999999996</v>
      </c>
      <c r="T45" s="127">
        <f t="shared" si="5"/>
        <v>13.400000000000006</v>
      </c>
      <c r="U45" s="127">
        <f t="shared" si="5"/>
        <v>10.300000000000004</v>
      </c>
      <c r="V45" s="127">
        <f t="shared" si="5"/>
        <v>12.500000000000007</v>
      </c>
      <c r="W45" s="127">
        <f t="shared" si="5"/>
        <v>10.799999999999997</v>
      </c>
    </row>
    <row r="46" spans="1:23" ht="12.75">
      <c r="A46" s="130" t="s">
        <v>13</v>
      </c>
      <c r="B46" s="131">
        <v>19</v>
      </c>
      <c r="C46" s="125">
        <v>20</v>
      </c>
      <c r="D46" s="125">
        <v>18.8</v>
      </c>
      <c r="E46" s="125">
        <v>19.9</v>
      </c>
      <c r="F46" s="125">
        <v>19</v>
      </c>
      <c r="G46" s="129">
        <v>20.1</v>
      </c>
      <c r="H46" s="125"/>
      <c r="I46" s="130" t="s">
        <v>13</v>
      </c>
      <c r="J46" s="131">
        <v>18.2</v>
      </c>
      <c r="K46" s="125">
        <v>19.4</v>
      </c>
      <c r="L46" s="125">
        <v>18.1</v>
      </c>
      <c r="M46" s="125">
        <v>19.2</v>
      </c>
      <c r="N46" s="125">
        <v>18.4</v>
      </c>
      <c r="O46" s="129">
        <v>19.5</v>
      </c>
      <c r="Q46" s="128" t="str">
        <f t="shared" si="4"/>
        <v>G/dB</v>
      </c>
      <c r="R46" s="127">
        <f t="shared" si="5"/>
        <v>0.8000000000000007</v>
      </c>
      <c r="S46" s="127">
        <f t="shared" si="5"/>
        <v>0.6000000000000014</v>
      </c>
      <c r="T46" s="127">
        <f t="shared" si="5"/>
        <v>0.6999999999999993</v>
      </c>
      <c r="U46" s="127">
        <f t="shared" si="5"/>
        <v>0.6999999999999993</v>
      </c>
      <c r="V46" s="127">
        <f t="shared" si="5"/>
        <v>0.6000000000000014</v>
      </c>
      <c r="W46" s="127">
        <f t="shared" si="5"/>
        <v>0.6000000000000014</v>
      </c>
    </row>
    <row r="47" spans="1:23" ht="12.75">
      <c r="A47" s="130" t="s">
        <v>14</v>
      </c>
      <c r="B47" s="131"/>
      <c r="C47" s="125"/>
      <c r="D47" s="125"/>
      <c r="E47" s="125"/>
      <c r="F47" s="125"/>
      <c r="G47" s="129"/>
      <c r="H47" s="125"/>
      <c r="I47" s="130" t="s">
        <v>14</v>
      </c>
      <c r="J47" s="131"/>
      <c r="K47" s="125"/>
      <c r="L47" s="125"/>
      <c r="M47" s="125"/>
      <c r="N47" s="125"/>
      <c r="O47" s="129"/>
      <c r="Q47" s="128" t="str">
        <f t="shared" si="4"/>
        <v>LF/%</v>
      </c>
      <c r="R47" s="127">
        <f t="shared" si="5"/>
        <v>0</v>
      </c>
      <c r="S47" s="127">
        <f t="shared" si="5"/>
        <v>0</v>
      </c>
      <c r="T47" s="127">
        <f t="shared" si="5"/>
        <v>0</v>
      </c>
      <c r="U47" s="127">
        <f t="shared" si="5"/>
        <v>0</v>
      </c>
      <c r="V47" s="127">
        <f t="shared" si="5"/>
        <v>0</v>
      </c>
      <c r="W47" s="127">
        <f t="shared" si="5"/>
        <v>0</v>
      </c>
    </row>
    <row r="48" spans="1:23" ht="12.75">
      <c r="A48" s="130" t="s">
        <v>15</v>
      </c>
      <c r="B48" s="131"/>
      <c r="C48" s="125"/>
      <c r="D48" s="125"/>
      <c r="E48" s="125"/>
      <c r="F48" s="125"/>
      <c r="G48" s="129"/>
      <c r="H48" s="125"/>
      <c r="I48" s="130" t="s">
        <v>15</v>
      </c>
      <c r="J48" s="131"/>
      <c r="K48" s="125"/>
      <c r="L48" s="125"/>
      <c r="M48" s="125"/>
      <c r="N48" s="125"/>
      <c r="O48" s="129"/>
      <c r="Q48" s="128" t="str">
        <f t="shared" si="4"/>
        <v>LFC/%</v>
      </c>
      <c r="R48" s="127">
        <f t="shared" si="5"/>
        <v>0</v>
      </c>
      <c r="S48" s="127">
        <f t="shared" si="5"/>
        <v>0</v>
      </c>
      <c r="T48" s="127">
        <f t="shared" si="5"/>
        <v>0</v>
      </c>
      <c r="U48" s="127">
        <f t="shared" si="5"/>
        <v>0</v>
      </c>
      <c r="V48" s="127">
        <f t="shared" si="5"/>
        <v>0</v>
      </c>
      <c r="W48" s="127">
        <f t="shared" si="5"/>
        <v>0</v>
      </c>
    </row>
    <row r="49" spans="1:23" ht="12.75">
      <c r="A49" s="134" t="s">
        <v>16</v>
      </c>
      <c r="B49" s="135"/>
      <c r="C49" s="132"/>
      <c r="D49" s="132"/>
      <c r="E49" s="132"/>
      <c r="F49" s="132"/>
      <c r="G49" s="133"/>
      <c r="H49" s="125"/>
      <c r="I49" s="134" t="s">
        <v>16</v>
      </c>
      <c r="J49" s="135"/>
      <c r="K49" s="132"/>
      <c r="L49" s="132"/>
      <c r="M49" s="132"/>
      <c r="N49" s="132"/>
      <c r="O49" s="133"/>
      <c r="Q49" s="128" t="str">
        <f t="shared" si="4"/>
        <v>IACC</v>
      </c>
      <c r="R49" s="127">
        <f t="shared" si="5"/>
        <v>0</v>
      </c>
      <c r="S49" s="127">
        <f t="shared" si="5"/>
        <v>0</v>
      </c>
      <c r="T49" s="127">
        <f t="shared" si="5"/>
        <v>0</v>
      </c>
      <c r="U49" s="127">
        <f t="shared" si="5"/>
        <v>0</v>
      </c>
      <c r="V49" s="127">
        <f t="shared" si="5"/>
        <v>0</v>
      </c>
      <c r="W49" s="127">
        <f t="shared" si="5"/>
        <v>0</v>
      </c>
    </row>
    <row r="50" spans="5:23" ht="12.75">
      <c r="E50" s="136"/>
      <c r="F50" s="136"/>
      <c r="G50" s="136"/>
      <c r="H50" s="136"/>
      <c r="M50" s="136"/>
      <c r="N50" s="136"/>
      <c r="O50" s="136"/>
      <c r="R50" s="127"/>
      <c r="S50" s="127"/>
      <c r="T50" s="127"/>
      <c r="U50" s="127"/>
      <c r="V50" s="127"/>
      <c r="W50" s="127"/>
    </row>
    <row r="51" spans="1:18" ht="12.75">
      <c r="A51" s="155" t="s">
        <v>19</v>
      </c>
      <c r="B51" s="156" t="s">
        <v>1</v>
      </c>
      <c r="E51" s="136"/>
      <c r="F51" s="136"/>
      <c r="G51" s="136"/>
      <c r="H51" s="136"/>
      <c r="I51" s="155" t="s">
        <v>19</v>
      </c>
      <c r="J51" s="156" t="s">
        <v>1</v>
      </c>
      <c r="M51" s="136"/>
      <c r="N51" s="136"/>
      <c r="O51" s="136"/>
      <c r="Q51" s="128" t="str">
        <f>+A51</f>
        <v>1000 Hz</v>
      </c>
      <c r="R51" s="128" t="str">
        <f>+B51</f>
        <v>octave</v>
      </c>
    </row>
    <row r="52" spans="1:23" ht="12.75">
      <c r="A52" s="142"/>
      <c r="B52" s="140" t="s">
        <v>2</v>
      </c>
      <c r="C52" s="140" t="s">
        <v>3</v>
      </c>
      <c r="D52" s="139" t="s">
        <v>4</v>
      </c>
      <c r="E52" s="139" t="s">
        <v>5</v>
      </c>
      <c r="F52" s="140" t="s">
        <v>6</v>
      </c>
      <c r="G52" s="139" t="s">
        <v>7</v>
      </c>
      <c r="H52" s="141"/>
      <c r="I52" s="142"/>
      <c r="J52" s="140" t="s">
        <v>2</v>
      </c>
      <c r="K52" s="140" t="s">
        <v>3</v>
      </c>
      <c r="L52" s="139" t="s">
        <v>4</v>
      </c>
      <c r="M52" s="139" t="s">
        <v>5</v>
      </c>
      <c r="N52" s="140" t="s">
        <v>6</v>
      </c>
      <c r="O52" s="139" t="s">
        <v>7</v>
      </c>
      <c r="Q52" s="128">
        <f>+A52</f>
        <v>0</v>
      </c>
      <c r="R52" s="128" t="str">
        <f>+B52</f>
        <v>S1R1</v>
      </c>
      <c r="S52" s="128" t="str">
        <f>+C52</f>
        <v>S1R2</v>
      </c>
      <c r="T52" s="128" t="str">
        <f>+D52</f>
        <v>S1R3</v>
      </c>
      <c r="U52" s="128" t="str">
        <f>+E52</f>
        <v>S2R1</v>
      </c>
      <c r="V52" s="128" t="str">
        <f>+F52</f>
        <v>S2R2</v>
      </c>
      <c r="W52" s="128" t="str">
        <f>+G52</f>
        <v>S2R3</v>
      </c>
    </row>
    <row r="53" spans="1:23" ht="12.75">
      <c r="A53" s="130" t="s">
        <v>8</v>
      </c>
      <c r="B53" s="145">
        <v>0.9</v>
      </c>
      <c r="C53" s="143">
        <v>0.92</v>
      </c>
      <c r="D53" s="143">
        <v>0.95</v>
      </c>
      <c r="E53" s="125">
        <v>0.92</v>
      </c>
      <c r="F53" s="143">
        <v>0.96</v>
      </c>
      <c r="G53" s="144">
        <v>0.91</v>
      </c>
      <c r="H53" s="125"/>
      <c r="I53" s="130" t="s">
        <v>8</v>
      </c>
      <c r="J53" s="145">
        <v>0.73</v>
      </c>
      <c r="K53" s="143">
        <v>0.73</v>
      </c>
      <c r="L53" s="143">
        <v>0.73</v>
      </c>
      <c r="M53" s="128">
        <v>0.73</v>
      </c>
      <c r="N53" s="143">
        <v>0.73</v>
      </c>
      <c r="O53" s="144">
        <v>0.72</v>
      </c>
      <c r="Q53" s="128" t="str">
        <f aca="true" t="shared" si="6" ref="Q53:Q61">+A53</f>
        <v>T30/s</v>
      </c>
      <c r="R53" s="127">
        <f aca="true" t="shared" si="7" ref="R53:W61">+B53-J53</f>
        <v>0.17000000000000004</v>
      </c>
      <c r="S53" s="127">
        <f t="shared" si="7"/>
        <v>0.19000000000000006</v>
      </c>
      <c r="T53" s="127">
        <f t="shared" si="7"/>
        <v>0.21999999999999997</v>
      </c>
      <c r="U53" s="127">
        <f t="shared" si="7"/>
        <v>0.19000000000000006</v>
      </c>
      <c r="V53" s="127">
        <f t="shared" si="7"/>
        <v>0.22999999999999998</v>
      </c>
      <c r="W53" s="127">
        <f t="shared" si="7"/>
        <v>0.19000000000000006</v>
      </c>
    </row>
    <row r="54" spans="1:23" ht="12.75">
      <c r="A54" s="130" t="s">
        <v>9</v>
      </c>
      <c r="B54" s="131">
        <v>0.89</v>
      </c>
      <c r="C54" s="125">
        <v>0.86</v>
      </c>
      <c r="D54" s="125">
        <v>0.89</v>
      </c>
      <c r="E54" s="125">
        <v>0.82</v>
      </c>
      <c r="F54" s="125">
        <v>0.88</v>
      </c>
      <c r="G54" s="129">
        <v>0.84</v>
      </c>
      <c r="H54" s="125"/>
      <c r="I54" s="130" t="s">
        <v>9</v>
      </c>
      <c r="J54" s="131">
        <v>0.7</v>
      </c>
      <c r="K54" s="125">
        <v>0.69</v>
      </c>
      <c r="L54" s="125">
        <v>0.72</v>
      </c>
      <c r="M54" s="128">
        <v>0.69</v>
      </c>
      <c r="N54" s="125">
        <v>0.74</v>
      </c>
      <c r="O54" s="129">
        <v>0.68</v>
      </c>
      <c r="Q54" s="128" t="str">
        <f t="shared" si="6"/>
        <v>EDT/s</v>
      </c>
      <c r="R54" s="127">
        <f t="shared" si="7"/>
        <v>0.19000000000000006</v>
      </c>
      <c r="S54" s="127">
        <f t="shared" si="7"/>
        <v>0.17000000000000004</v>
      </c>
      <c r="T54" s="127">
        <f t="shared" si="7"/>
        <v>0.17000000000000004</v>
      </c>
      <c r="U54" s="127">
        <f t="shared" si="7"/>
        <v>0.13</v>
      </c>
      <c r="V54" s="127">
        <f t="shared" si="7"/>
        <v>0.14</v>
      </c>
      <c r="W54" s="127">
        <f t="shared" si="7"/>
        <v>0.15999999999999992</v>
      </c>
    </row>
    <row r="55" spans="1:23" ht="12.75">
      <c r="A55" s="130" t="s">
        <v>10</v>
      </c>
      <c r="B55" s="131">
        <v>59.7</v>
      </c>
      <c r="C55" s="125">
        <v>62.7</v>
      </c>
      <c r="D55" s="125">
        <v>55.1</v>
      </c>
      <c r="E55" s="125">
        <v>65.2</v>
      </c>
      <c r="F55" s="125">
        <v>56.3</v>
      </c>
      <c r="G55" s="129">
        <v>64.9</v>
      </c>
      <c r="H55" s="125"/>
      <c r="I55" s="130" t="s">
        <v>10</v>
      </c>
      <c r="J55" s="131">
        <v>67.5</v>
      </c>
      <c r="K55" s="125">
        <v>69.8</v>
      </c>
      <c r="L55" s="125">
        <v>63.2</v>
      </c>
      <c r="M55" s="128">
        <v>70.2</v>
      </c>
      <c r="N55" s="125">
        <v>64.3</v>
      </c>
      <c r="O55" s="129">
        <v>70.6</v>
      </c>
      <c r="Q55" s="128" t="str">
        <f t="shared" si="6"/>
        <v>D/%</v>
      </c>
      <c r="R55" s="127">
        <f t="shared" si="7"/>
        <v>-7.799999999999997</v>
      </c>
      <c r="S55" s="127">
        <f t="shared" si="7"/>
        <v>-7.099999999999994</v>
      </c>
      <c r="T55" s="127">
        <f t="shared" si="7"/>
        <v>-8.100000000000001</v>
      </c>
      <c r="U55" s="127">
        <f t="shared" si="7"/>
        <v>-5</v>
      </c>
      <c r="V55" s="127">
        <f t="shared" si="7"/>
        <v>-8</v>
      </c>
      <c r="W55" s="127">
        <f t="shared" si="7"/>
        <v>-5.699999999999989</v>
      </c>
    </row>
    <row r="56" spans="1:23" ht="12.75">
      <c r="A56" s="130" t="s">
        <v>11</v>
      </c>
      <c r="B56" s="131">
        <v>4.6</v>
      </c>
      <c r="C56" s="125">
        <v>5.2</v>
      </c>
      <c r="D56" s="125">
        <v>4.1</v>
      </c>
      <c r="E56" s="125">
        <v>5.7</v>
      </c>
      <c r="F56" s="125">
        <v>4.3</v>
      </c>
      <c r="G56" s="129">
        <v>5.5</v>
      </c>
      <c r="H56" s="125"/>
      <c r="I56" s="130" t="s">
        <v>11</v>
      </c>
      <c r="J56" s="131">
        <v>6.4</v>
      </c>
      <c r="K56" s="125">
        <v>7.1</v>
      </c>
      <c r="L56" s="125">
        <v>5.8</v>
      </c>
      <c r="M56" s="128">
        <v>7.1</v>
      </c>
      <c r="N56" s="125">
        <v>5.7</v>
      </c>
      <c r="O56" s="129">
        <v>7.1</v>
      </c>
      <c r="Q56" s="128" t="str">
        <f t="shared" si="6"/>
        <v>C/dB</v>
      </c>
      <c r="R56" s="127">
        <f t="shared" si="7"/>
        <v>-1.8000000000000007</v>
      </c>
      <c r="S56" s="127">
        <f t="shared" si="7"/>
        <v>-1.8999999999999995</v>
      </c>
      <c r="T56" s="127">
        <f t="shared" si="7"/>
        <v>-1.7000000000000002</v>
      </c>
      <c r="U56" s="127">
        <f t="shared" si="7"/>
        <v>-1.3999999999999995</v>
      </c>
      <c r="V56" s="127">
        <f t="shared" si="7"/>
        <v>-1.4000000000000004</v>
      </c>
      <c r="W56" s="127">
        <f t="shared" si="7"/>
        <v>-1.5999999999999996</v>
      </c>
    </row>
    <row r="57" spans="1:23" ht="13.5" customHeight="1">
      <c r="A57" s="130" t="s">
        <v>12</v>
      </c>
      <c r="B57" s="131">
        <v>58.1</v>
      </c>
      <c r="C57" s="125">
        <v>52.9</v>
      </c>
      <c r="D57" s="125">
        <v>62.8</v>
      </c>
      <c r="E57" s="125">
        <v>49.2</v>
      </c>
      <c r="F57" s="125">
        <v>61.3</v>
      </c>
      <c r="G57" s="129">
        <v>50.8</v>
      </c>
      <c r="H57" s="125"/>
      <c r="I57" s="130" t="s">
        <v>12</v>
      </c>
      <c r="J57" s="131">
        <v>45.7</v>
      </c>
      <c r="K57" s="125">
        <v>40.7</v>
      </c>
      <c r="L57" s="125">
        <v>50.1</v>
      </c>
      <c r="M57" s="128">
        <v>39.8</v>
      </c>
      <c r="N57" s="125">
        <v>49.2</v>
      </c>
      <c r="O57" s="129">
        <v>40.6</v>
      </c>
      <c r="Q57" s="128" t="str">
        <f t="shared" si="6"/>
        <v>TS/ms</v>
      </c>
      <c r="R57" s="127">
        <f t="shared" si="7"/>
        <v>12.399999999999999</v>
      </c>
      <c r="S57" s="127">
        <f t="shared" si="7"/>
        <v>12.199999999999996</v>
      </c>
      <c r="T57" s="127">
        <f t="shared" si="7"/>
        <v>12.699999999999996</v>
      </c>
      <c r="U57" s="127">
        <f t="shared" si="7"/>
        <v>9.400000000000006</v>
      </c>
      <c r="V57" s="127">
        <f t="shared" si="7"/>
        <v>12.099999999999994</v>
      </c>
      <c r="W57" s="127">
        <f t="shared" si="7"/>
        <v>10.199999999999996</v>
      </c>
    </row>
    <row r="58" spans="1:23" ht="12" customHeight="1">
      <c r="A58" s="130" t="s">
        <v>13</v>
      </c>
      <c r="B58" s="131">
        <v>18.5</v>
      </c>
      <c r="C58" s="125">
        <v>19.8</v>
      </c>
      <c r="D58" s="125">
        <v>18.4</v>
      </c>
      <c r="E58" s="125">
        <v>19.4</v>
      </c>
      <c r="F58" s="125">
        <v>18.6</v>
      </c>
      <c r="G58" s="129">
        <v>19.6</v>
      </c>
      <c r="H58" s="125"/>
      <c r="I58" s="130" t="s">
        <v>13</v>
      </c>
      <c r="J58" s="131">
        <v>17.7</v>
      </c>
      <c r="K58" s="125">
        <v>19.1</v>
      </c>
      <c r="L58" s="125">
        <v>17.7</v>
      </c>
      <c r="M58" s="128">
        <v>18.7</v>
      </c>
      <c r="N58" s="125">
        <v>17.9</v>
      </c>
      <c r="O58" s="129">
        <v>19.1</v>
      </c>
      <c r="Q58" s="128" t="str">
        <f t="shared" si="6"/>
        <v>G/dB</v>
      </c>
      <c r="R58" s="127">
        <f t="shared" si="7"/>
        <v>0.8000000000000007</v>
      </c>
      <c r="S58" s="127">
        <f t="shared" si="7"/>
        <v>0.6999999999999993</v>
      </c>
      <c r="T58" s="127">
        <f t="shared" si="7"/>
        <v>0.6999999999999993</v>
      </c>
      <c r="U58" s="127">
        <f t="shared" si="7"/>
        <v>0.6999999999999993</v>
      </c>
      <c r="V58" s="127">
        <f t="shared" si="7"/>
        <v>0.7000000000000028</v>
      </c>
      <c r="W58" s="127">
        <f t="shared" si="7"/>
        <v>0.5</v>
      </c>
    </row>
    <row r="59" spans="1:23" ht="12.75">
      <c r="A59" s="130" t="s">
        <v>14</v>
      </c>
      <c r="B59" s="131"/>
      <c r="C59" s="125"/>
      <c r="D59" s="125"/>
      <c r="E59" s="125"/>
      <c r="F59" s="125"/>
      <c r="G59" s="129"/>
      <c r="H59" s="125"/>
      <c r="I59" s="130" t="s">
        <v>14</v>
      </c>
      <c r="J59" s="131"/>
      <c r="K59" s="125"/>
      <c r="L59" s="125"/>
      <c r="M59" s="125"/>
      <c r="N59" s="125"/>
      <c r="O59" s="129"/>
      <c r="Q59" s="128" t="str">
        <f t="shared" si="6"/>
        <v>LF/%</v>
      </c>
      <c r="R59" s="127">
        <f t="shared" si="7"/>
        <v>0</v>
      </c>
      <c r="S59" s="127">
        <f t="shared" si="7"/>
        <v>0</v>
      </c>
      <c r="T59" s="127">
        <f t="shared" si="7"/>
        <v>0</v>
      </c>
      <c r="U59" s="127">
        <f t="shared" si="7"/>
        <v>0</v>
      </c>
      <c r="V59" s="127">
        <f t="shared" si="7"/>
        <v>0</v>
      </c>
      <c r="W59" s="127">
        <f t="shared" si="7"/>
        <v>0</v>
      </c>
    </row>
    <row r="60" spans="1:23" ht="12.75">
      <c r="A60" s="130" t="s">
        <v>15</v>
      </c>
      <c r="B60" s="131"/>
      <c r="C60" s="125"/>
      <c r="D60" s="125"/>
      <c r="E60" s="125"/>
      <c r="F60" s="125"/>
      <c r="G60" s="129"/>
      <c r="H60" s="125"/>
      <c r="I60" s="130" t="s">
        <v>15</v>
      </c>
      <c r="J60" s="131"/>
      <c r="K60" s="125"/>
      <c r="L60" s="125"/>
      <c r="M60" s="125"/>
      <c r="N60" s="125"/>
      <c r="O60" s="129"/>
      <c r="Q60" s="128" t="str">
        <f t="shared" si="6"/>
        <v>LFC/%</v>
      </c>
      <c r="R60" s="127">
        <f t="shared" si="7"/>
        <v>0</v>
      </c>
      <c r="S60" s="127">
        <f t="shared" si="7"/>
        <v>0</v>
      </c>
      <c r="T60" s="127">
        <f t="shared" si="7"/>
        <v>0</v>
      </c>
      <c r="U60" s="127">
        <f t="shared" si="7"/>
        <v>0</v>
      </c>
      <c r="V60" s="127">
        <f t="shared" si="7"/>
        <v>0</v>
      </c>
      <c r="W60" s="127">
        <f t="shared" si="7"/>
        <v>0</v>
      </c>
    </row>
    <row r="61" spans="1:23" ht="12.75">
      <c r="A61" s="134" t="s">
        <v>16</v>
      </c>
      <c r="B61" s="135"/>
      <c r="C61" s="132"/>
      <c r="D61" s="132"/>
      <c r="E61" s="132"/>
      <c r="F61" s="132"/>
      <c r="G61" s="133"/>
      <c r="H61" s="125"/>
      <c r="I61" s="134" t="s">
        <v>16</v>
      </c>
      <c r="J61" s="135"/>
      <c r="K61" s="132"/>
      <c r="L61" s="132"/>
      <c r="M61" s="132"/>
      <c r="N61" s="132"/>
      <c r="O61" s="133"/>
      <c r="Q61" s="128" t="str">
        <f t="shared" si="6"/>
        <v>IACC</v>
      </c>
      <c r="R61" s="127">
        <f t="shared" si="7"/>
        <v>0</v>
      </c>
      <c r="S61" s="127">
        <f t="shared" si="7"/>
        <v>0</v>
      </c>
      <c r="T61" s="127">
        <f t="shared" si="7"/>
        <v>0</v>
      </c>
      <c r="U61" s="127">
        <f t="shared" si="7"/>
        <v>0</v>
      </c>
      <c r="V61" s="127">
        <f t="shared" si="7"/>
        <v>0</v>
      </c>
      <c r="W61" s="127">
        <f t="shared" si="7"/>
        <v>0</v>
      </c>
    </row>
    <row r="62" spans="5:15" ht="12.75">
      <c r="E62" s="136"/>
      <c r="F62" s="136"/>
      <c r="G62" s="136"/>
      <c r="H62" s="136"/>
      <c r="M62" s="136"/>
      <c r="N62" s="136"/>
      <c r="O62" s="136"/>
    </row>
    <row r="63" spans="1:18" ht="12.75">
      <c r="A63" s="155" t="s">
        <v>20</v>
      </c>
      <c r="B63" s="156" t="s">
        <v>1</v>
      </c>
      <c r="E63" s="136"/>
      <c r="F63" s="136"/>
      <c r="G63" s="136"/>
      <c r="H63" s="136"/>
      <c r="I63" s="155" t="s">
        <v>20</v>
      </c>
      <c r="J63" s="156" t="s">
        <v>1</v>
      </c>
      <c r="M63" s="136"/>
      <c r="N63" s="136"/>
      <c r="O63" s="136"/>
      <c r="Q63" s="128" t="str">
        <f>+A63</f>
        <v>2000 Hz</v>
      </c>
      <c r="R63" s="128" t="str">
        <f>+B63</f>
        <v>octave</v>
      </c>
    </row>
    <row r="64" spans="1:23" ht="12.75">
      <c r="A64" s="142"/>
      <c r="B64" s="140" t="s">
        <v>2</v>
      </c>
      <c r="C64" s="140" t="s">
        <v>3</v>
      </c>
      <c r="D64" s="139" t="s">
        <v>4</v>
      </c>
      <c r="E64" s="139" t="s">
        <v>5</v>
      </c>
      <c r="F64" s="140" t="s">
        <v>6</v>
      </c>
      <c r="G64" s="139" t="s">
        <v>7</v>
      </c>
      <c r="H64" s="141"/>
      <c r="I64" s="142"/>
      <c r="J64" s="140" t="s">
        <v>2</v>
      </c>
      <c r="K64" s="140" t="s">
        <v>3</v>
      </c>
      <c r="L64" s="139" t="s">
        <v>4</v>
      </c>
      <c r="M64" s="139" t="s">
        <v>5</v>
      </c>
      <c r="N64" s="140" t="s">
        <v>6</v>
      </c>
      <c r="O64" s="139" t="s">
        <v>7</v>
      </c>
      <c r="Q64" s="128">
        <f>+A64</f>
        <v>0</v>
      </c>
      <c r="R64" s="128" t="str">
        <f>+B64</f>
        <v>S1R1</v>
      </c>
      <c r="S64" s="128" t="str">
        <f>+C64</f>
        <v>S1R2</v>
      </c>
      <c r="T64" s="128" t="str">
        <f>+D64</f>
        <v>S1R3</v>
      </c>
      <c r="U64" s="128" t="str">
        <f>+E64</f>
        <v>S2R1</v>
      </c>
      <c r="V64" s="128" t="str">
        <f>+F64</f>
        <v>S2R2</v>
      </c>
      <c r="W64" s="128" t="str">
        <f>+G64</f>
        <v>S2R3</v>
      </c>
    </row>
    <row r="65" spans="1:23" ht="12.75">
      <c r="A65" s="130" t="s">
        <v>8</v>
      </c>
      <c r="B65" s="145">
        <v>1.02</v>
      </c>
      <c r="C65" s="143">
        <v>1.01</v>
      </c>
      <c r="D65" s="143">
        <v>1.02</v>
      </c>
      <c r="E65" s="125">
        <v>1.03</v>
      </c>
      <c r="F65" s="143">
        <v>1.02</v>
      </c>
      <c r="G65" s="144">
        <v>1.01</v>
      </c>
      <c r="H65" s="125"/>
      <c r="I65" s="130" t="s">
        <v>8</v>
      </c>
      <c r="J65" s="145">
        <v>0.71</v>
      </c>
      <c r="K65" s="143">
        <v>0.71</v>
      </c>
      <c r="L65" s="143">
        <v>0.72</v>
      </c>
      <c r="M65" s="128">
        <v>0.71</v>
      </c>
      <c r="N65" s="143">
        <v>0.71</v>
      </c>
      <c r="O65" s="144">
        <v>0.71</v>
      </c>
      <c r="Q65" s="128" t="str">
        <f aca="true" t="shared" si="8" ref="Q65:Q73">+A65</f>
        <v>T30/s</v>
      </c>
      <c r="R65" s="127">
        <f aca="true" t="shared" si="9" ref="R65:W73">+B65-J65</f>
        <v>0.31000000000000005</v>
      </c>
      <c r="S65" s="127">
        <f t="shared" si="9"/>
        <v>0.30000000000000004</v>
      </c>
      <c r="T65" s="127">
        <f t="shared" si="9"/>
        <v>0.30000000000000004</v>
      </c>
      <c r="U65" s="127">
        <f t="shared" si="9"/>
        <v>0.32000000000000006</v>
      </c>
      <c r="V65" s="127">
        <f t="shared" si="9"/>
        <v>0.31000000000000005</v>
      </c>
      <c r="W65" s="127">
        <f t="shared" si="9"/>
        <v>0.30000000000000004</v>
      </c>
    </row>
    <row r="66" spans="1:23" ht="12.75">
      <c r="A66" s="130" t="s">
        <v>9</v>
      </c>
      <c r="B66" s="131">
        <v>0.97</v>
      </c>
      <c r="C66" s="125">
        <v>0.95</v>
      </c>
      <c r="D66" s="125">
        <v>0.98</v>
      </c>
      <c r="E66" s="125">
        <v>0.92</v>
      </c>
      <c r="F66" s="125">
        <v>0.98</v>
      </c>
      <c r="G66" s="129">
        <v>0.93</v>
      </c>
      <c r="H66" s="125"/>
      <c r="I66" s="130" t="s">
        <v>9</v>
      </c>
      <c r="J66" s="131">
        <v>0.69</v>
      </c>
      <c r="K66" s="125">
        <v>0.68</v>
      </c>
      <c r="L66" s="125">
        <v>0.71</v>
      </c>
      <c r="M66" s="128">
        <v>0.68</v>
      </c>
      <c r="N66" s="125">
        <v>0.73</v>
      </c>
      <c r="O66" s="129">
        <v>0.68</v>
      </c>
      <c r="Q66" s="128" t="str">
        <f t="shared" si="8"/>
        <v>EDT/s</v>
      </c>
      <c r="R66" s="127">
        <f t="shared" si="9"/>
        <v>0.28</v>
      </c>
      <c r="S66" s="127">
        <f t="shared" si="9"/>
        <v>0.2699999999999999</v>
      </c>
      <c r="T66" s="127">
        <f t="shared" si="9"/>
        <v>0.27</v>
      </c>
      <c r="U66" s="127">
        <f t="shared" si="9"/>
        <v>0.24</v>
      </c>
      <c r="V66" s="127">
        <f t="shared" si="9"/>
        <v>0.25</v>
      </c>
      <c r="W66" s="127">
        <f t="shared" si="9"/>
        <v>0.25</v>
      </c>
    </row>
    <row r="67" spans="1:23" ht="12.75">
      <c r="A67" s="130" t="s">
        <v>10</v>
      </c>
      <c r="B67" s="131">
        <v>55.8</v>
      </c>
      <c r="C67" s="125">
        <v>59.1</v>
      </c>
      <c r="D67" s="125">
        <v>51.4</v>
      </c>
      <c r="E67" s="125">
        <v>61.5</v>
      </c>
      <c r="F67" s="125">
        <v>52.6</v>
      </c>
      <c r="G67" s="129">
        <v>61.2</v>
      </c>
      <c r="H67" s="125"/>
      <c r="I67" s="130" t="s">
        <v>10</v>
      </c>
      <c r="J67" s="131">
        <v>68.4</v>
      </c>
      <c r="K67" s="125">
        <v>70.4</v>
      </c>
      <c r="L67" s="125">
        <v>63.4</v>
      </c>
      <c r="M67" s="128">
        <v>70.9</v>
      </c>
      <c r="N67" s="125">
        <v>64.4</v>
      </c>
      <c r="O67" s="129">
        <v>70.7</v>
      </c>
      <c r="Q67" s="128" t="str">
        <f t="shared" si="8"/>
        <v>D/%</v>
      </c>
      <c r="R67" s="127">
        <f t="shared" si="9"/>
        <v>-12.600000000000009</v>
      </c>
      <c r="S67" s="127">
        <f t="shared" si="9"/>
        <v>-11.300000000000004</v>
      </c>
      <c r="T67" s="127">
        <f t="shared" si="9"/>
        <v>-12</v>
      </c>
      <c r="U67" s="127">
        <f t="shared" si="9"/>
        <v>-9.400000000000006</v>
      </c>
      <c r="V67" s="127">
        <f t="shared" si="9"/>
        <v>-11.800000000000004</v>
      </c>
      <c r="W67" s="127">
        <f t="shared" si="9"/>
        <v>-9.5</v>
      </c>
    </row>
    <row r="68" spans="1:23" ht="12.75">
      <c r="A68" s="130" t="s">
        <v>11</v>
      </c>
      <c r="B68" s="131">
        <v>3.8</v>
      </c>
      <c r="C68" s="125">
        <v>4.4</v>
      </c>
      <c r="D68" s="125">
        <v>3.3</v>
      </c>
      <c r="E68" s="125">
        <v>4.9</v>
      </c>
      <c r="F68" s="125">
        <v>3.5</v>
      </c>
      <c r="G68" s="129">
        <v>4.7</v>
      </c>
      <c r="H68" s="125"/>
      <c r="I68" s="130" t="s">
        <v>11</v>
      </c>
      <c r="J68" s="131">
        <v>6.6</v>
      </c>
      <c r="K68" s="125">
        <v>7.2</v>
      </c>
      <c r="L68" s="125">
        <v>5.9</v>
      </c>
      <c r="M68" s="128">
        <v>7.3</v>
      </c>
      <c r="N68" s="125">
        <v>5.8</v>
      </c>
      <c r="O68" s="129">
        <v>7.1</v>
      </c>
      <c r="Q68" s="128" t="str">
        <f t="shared" si="8"/>
        <v>C/dB</v>
      </c>
      <c r="R68" s="127">
        <f t="shared" si="9"/>
        <v>-2.8</v>
      </c>
      <c r="S68" s="127">
        <f t="shared" si="9"/>
        <v>-2.8</v>
      </c>
      <c r="T68" s="127">
        <f t="shared" si="9"/>
        <v>-2.6000000000000005</v>
      </c>
      <c r="U68" s="127">
        <f t="shared" si="9"/>
        <v>-2.3999999999999995</v>
      </c>
      <c r="V68" s="127">
        <f t="shared" si="9"/>
        <v>-2.3</v>
      </c>
      <c r="W68" s="127">
        <f t="shared" si="9"/>
        <v>-2.3999999999999995</v>
      </c>
    </row>
    <row r="69" spans="1:23" ht="12.75">
      <c r="A69" s="130" t="s">
        <v>12</v>
      </c>
      <c r="B69" s="131">
        <v>65</v>
      </c>
      <c r="C69" s="125">
        <v>59.3</v>
      </c>
      <c r="D69" s="125">
        <v>69.9</v>
      </c>
      <c r="E69" s="125">
        <v>55.7</v>
      </c>
      <c r="F69" s="125">
        <v>68.2</v>
      </c>
      <c r="G69" s="129">
        <v>57.3</v>
      </c>
      <c r="H69" s="125"/>
      <c r="I69" s="130" t="s">
        <v>12</v>
      </c>
      <c r="J69" s="131">
        <v>44.5</v>
      </c>
      <c r="K69" s="125">
        <v>39.9</v>
      </c>
      <c r="L69" s="125">
        <v>49.5</v>
      </c>
      <c r="M69" s="128">
        <v>38.9</v>
      </c>
      <c r="N69" s="125">
        <v>48.6</v>
      </c>
      <c r="O69" s="129">
        <v>40.4</v>
      </c>
      <c r="Q69" s="128" t="str">
        <f t="shared" si="8"/>
        <v>TS/ms</v>
      </c>
      <c r="R69" s="127">
        <f t="shared" si="9"/>
        <v>20.5</v>
      </c>
      <c r="S69" s="127">
        <f t="shared" si="9"/>
        <v>19.4</v>
      </c>
      <c r="T69" s="127">
        <f t="shared" si="9"/>
        <v>20.400000000000006</v>
      </c>
      <c r="U69" s="127">
        <f t="shared" si="9"/>
        <v>16.800000000000004</v>
      </c>
      <c r="V69" s="127">
        <f t="shared" si="9"/>
        <v>19.6</v>
      </c>
      <c r="W69" s="127">
        <f t="shared" si="9"/>
        <v>16.9</v>
      </c>
    </row>
    <row r="70" spans="1:23" ht="12.75">
      <c r="A70" s="130" t="s">
        <v>13</v>
      </c>
      <c r="B70" s="131">
        <v>18.9</v>
      </c>
      <c r="C70" s="125">
        <v>20</v>
      </c>
      <c r="D70" s="125">
        <v>18.8</v>
      </c>
      <c r="E70" s="125">
        <v>19.8</v>
      </c>
      <c r="F70" s="125">
        <v>19</v>
      </c>
      <c r="G70" s="129">
        <v>20</v>
      </c>
      <c r="H70" s="125"/>
      <c r="I70" s="130" t="s">
        <v>13</v>
      </c>
      <c r="J70" s="131">
        <v>17.5</v>
      </c>
      <c r="K70" s="125">
        <v>19</v>
      </c>
      <c r="L70" s="125">
        <v>17.6</v>
      </c>
      <c r="M70" s="128">
        <v>18.6</v>
      </c>
      <c r="N70" s="125">
        <v>17.9</v>
      </c>
      <c r="O70" s="129">
        <v>19.1</v>
      </c>
      <c r="Q70" s="128" t="str">
        <f t="shared" si="8"/>
        <v>G/dB</v>
      </c>
      <c r="R70" s="127">
        <f t="shared" si="9"/>
        <v>1.3999999999999986</v>
      </c>
      <c r="S70" s="127">
        <f t="shared" si="9"/>
        <v>1</v>
      </c>
      <c r="T70" s="127">
        <f t="shared" si="9"/>
        <v>1.1999999999999993</v>
      </c>
      <c r="U70" s="127">
        <f t="shared" si="9"/>
        <v>1.1999999999999993</v>
      </c>
      <c r="V70" s="127">
        <f t="shared" si="9"/>
        <v>1.1000000000000014</v>
      </c>
      <c r="W70" s="127">
        <f t="shared" si="9"/>
        <v>0.8999999999999986</v>
      </c>
    </row>
    <row r="71" spans="1:23" ht="12.75">
      <c r="A71" s="130" t="s">
        <v>14</v>
      </c>
      <c r="B71" s="131"/>
      <c r="C71" s="125"/>
      <c r="D71" s="125"/>
      <c r="E71" s="125"/>
      <c r="F71" s="125"/>
      <c r="G71" s="129"/>
      <c r="H71" s="125"/>
      <c r="I71" s="130" t="s">
        <v>14</v>
      </c>
      <c r="J71" s="131"/>
      <c r="K71" s="125"/>
      <c r="L71" s="125"/>
      <c r="M71" s="125"/>
      <c r="N71" s="125"/>
      <c r="O71" s="129"/>
      <c r="Q71" s="128" t="str">
        <f t="shared" si="8"/>
        <v>LF/%</v>
      </c>
      <c r="R71" s="127">
        <f t="shared" si="9"/>
        <v>0</v>
      </c>
      <c r="S71" s="127">
        <f t="shared" si="9"/>
        <v>0</v>
      </c>
      <c r="T71" s="127">
        <f t="shared" si="9"/>
        <v>0</v>
      </c>
      <c r="U71" s="127">
        <f t="shared" si="9"/>
        <v>0</v>
      </c>
      <c r="V71" s="127">
        <f t="shared" si="9"/>
        <v>0</v>
      </c>
      <c r="W71" s="127">
        <f t="shared" si="9"/>
        <v>0</v>
      </c>
    </row>
    <row r="72" spans="1:23" ht="12.75">
      <c r="A72" s="130" t="s">
        <v>15</v>
      </c>
      <c r="B72" s="131"/>
      <c r="C72" s="125"/>
      <c r="D72" s="125"/>
      <c r="E72" s="125"/>
      <c r="F72" s="125"/>
      <c r="G72" s="129"/>
      <c r="H72" s="125"/>
      <c r="I72" s="130" t="s">
        <v>15</v>
      </c>
      <c r="J72" s="131"/>
      <c r="K72" s="125"/>
      <c r="L72" s="125"/>
      <c r="M72" s="125"/>
      <c r="N72" s="125"/>
      <c r="O72" s="129"/>
      <c r="Q72" s="128" t="str">
        <f t="shared" si="8"/>
        <v>LFC/%</v>
      </c>
      <c r="R72" s="127">
        <f t="shared" si="9"/>
        <v>0</v>
      </c>
      <c r="S72" s="127">
        <f t="shared" si="9"/>
        <v>0</v>
      </c>
      <c r="T72" s="127">
        <f t="shared" si="9"/>
        <v>0</v>
      </c>
      <c r="U72" s="127">
        <f t="shared" si="9"/>
        <v>0</v>
      </c>
      <c r="V72" s="127">
        <f t="shared" si="9"/>
        <v>0</v>
      </c>
      <c r="W72" s="127">
        <f t="shared" si="9"/>
        <v>0</v>
      </c>
    </row>
    <row r="73" spans="1:23" ht="12.75">
      <c r="A73" s="134" t="s">
        <v>16</v>
      </c>
      <c r="B73" s="135"/>
      <c r="C73" s="132"/>
      <c r="D73" s="132"/>
      <c r="E73" s="132"/>
      <c r="F73" s="132"/>
      <c r="G73" s="133"/>
      <c r="H73" s="125"/>
      <c r="I73" s="134" t="s">
        <v>16</v>
      </c>
      <c r="J73" s="135"/>
      <c r="K73" s="132"/>
      <c r="L73" s="132"/>
      <c r="M73" s="132"/>
      <c r="N73" s="132"/>
      <c r="O73" s="133"/>
      <c r="Q73" s="128" t="str">
        <f t="shared" si="8"/>
        <v>IACC</v>
      </c>
      <c r="R73" s="127">
        <f t="shared" si="9"/>
        <v>0</v>
      </c>
      <c r="S73" s="127">
        <f t="shared" si="9"/>
        <v>0</v>
      </c>
      <c r="T73" s="127">
        <f t="shared" si="9"/>
        <v>0</v>
      </c>
      <c r="U73" s="127">
        <f t="shared" si="9"/>
        <v>0</v>
      </c>
      <c r="V73" s="127">
        <f t="shared" si="9"/>
        <v>0</v>
      </c>
      <c r="W73" s="127">
        <f t="shared" si="9"/>
        <v>0</v>
      </c>
    </row>
    <row r="74" spans="5:15" ht="12.75">
      <c r="E74" s="136"/>
      <c r="F74" s="136"/>
      <c r="G74" s="136"/>
      <c r="H74" s="136"/>
      <c r="M74" s="136"/>
      <c r="N74" s="136"/>
      <c r="O74" s="136"/>
    </row>
    <row r="75" spans="1:18" ht="12.75">
      <c r="A75" s="155" t="s">
        <v>21</v>
      </c>
      <c r="B75" s="156" t="s">
        <v>1</v>
      </c>
      <c r="E75" s="136"/>
      <c r="F75" s="136"/>
      <c r="G75" s="136"/>
      <c r="H75" s="136"/>
      <c r="I75" s="155" t="s">
        <v>21</v>
      </c>
      <c r="J75" s="156" t="s">
        <v>1</v>
      </c>
      <c r="M75" s="136"/>
      <c r="N75" s="136"/>
      <c r="O75" s="136"/>
      <c r="Q75" s="128" t="str">
        <f>+A75</f>
        <v>4000 Hz</v>
      </c>
      <c r="R75" s="128" t="str">
        <f>+B75</f>
        <v>octave</v>
      </c>
    </row>
    <row r="76" spans="1:23" ht="12.75">
      <c r="A76" s="142"/>
      <c r="B76" s="140" t="s">
        <v>2</v>
      </c>
      <c r="C76" s="140" t="s">
        <v>3</v>
      </c>
      <c r="D76" s="139" t="s">
        <v>4</v>
      </c>
      <c r="E76" s="139" t="s">
        <v>5</v>
      </c>
      <c r="F76" s="140" t="s">
        <v>6</v>
      </c>
      <c r="G76" s="139" t="s">
        <v>7</v>
      </c>
      <c r="H76" s="141"/>
      <c r="I76" s="142"/>
      <c r="J76" s="140" t="s">
        <v>2</v>
      </c>
      <c r="K76" s="140" t="s">
        <v>3</v>
      </c>
      <c r="L76" s="139" t="s">
        <v>4</v>
      </c>
      <c r="M76" s="139" t="s">
        <v>5</v>
      </c>
      <c r="N76" s="140" t="s">
        <v>6</v>
      </c>
      <c r="O76" s="139" t="s">
        <v>7</v>
      </c>
      <c r="Q76" s="128">
        <f>+A76</f>
        <v>0</v>
      </c>
      <c r="R76" s="128" t="str">
        <f>+B76</f>
        <v>S1R1</v>
      </c>
      <c r="S76" s="128" t="str">
        <f>+C76</f>
        <v>S1R2</v>
      </c>
      <c r="T76" s="128" t="str">
        <f>+D76</f>
        <v>S1R3</v>
      </c>
      <c r="U76" s="128" t="str">
        <f>+E76</f>
        <v>S2R1</v>
      </c>
      <c r="V76" s="128" t="str">
        <f>+F76</f>
        <v>S2R2</v>
      </c>
      <c r="W76" s="128" t="str">
        <f>+G76</f>
        <v>S2R3</v>
      </c>
    </row>
    <row r="77" spans="1:23" ht="12.75">
      <c r="A77" s="130" t="s">
        <v>8</v>
      </c>
      <c r="B77" s="145">
        <v>0.86</v>
      </c>
      <c r="C77" s="143">
        <v>0.87</v>
      </c>
      <c r="D77" s="143">
        <v>0.88</v>
      </c>
      <c r="E77" s="125">
        <v>0.88</v>
      </c>
      <c r="F77" s="143">
        <v>0.89</v>
      </c>
      <c r="G77" s="144">
        <v>0.87</v>
      </c>
      <c r="H77" s="125"/>
      <c r="I77" s="130" t="s">
        <v>8</v>
      </c>
      <c r="J77" s="145">
        <v>0.61</v>
      </c>
      <c r="K77" s="143">
        <v>0.6</v>
      </c>
      <c r="L77" s="143">
        <v>0.62</v>
      </c>
      <c r="M77" s="128">
        <v>0.6</v>
      </c>
      <c r="N77" s="143">
        <v>0.61</v>
      </c>
      <c r="O77" s="144">
        <v>0.6</v>
      </c>
      <c r="Q77" s="128" t="str">
        <f aca="true" t="shared" si="10" ref="Q77:Q85">+A77</f>
        <v>T30/s</v>
      </c>
      <c r="R77" s="127">
        <f aca="true" t="shared" si="11" ref="R77:W85">+B77-J77</f>
        <v>0.25</v>
      </c>
      <c r="S77" s="127">
        <f t="shared" si="11"/>
        <v>0.27</v>
      </c>
      <c r="T77" s="127">
        <f t="shared" si="11"/>
        <v>0.26</v>
      </c>
      <c r="U77" s="127">
        <f t="shared" si="11"/>
        <v>0.28</v>
      </c>
      <c r="V77" s="127">
        <f t="shared" si="11"/>
        <v>0.28</v>
      </c>
      <c r="W77" s="127">
        <f t="shared" si="11"/>
        <v>0.27</v>
      </c>
    </row>
    <row r="78" spans="1:23" ht="12.75">
      <c r="A78" s="130" t="s">
        <v>9</v>
      </c>
      <c r="B78" s="131">
        <v>0.83</v>
      </c>
      <c r="C78" s="125">
        <v>0.82</v>
      </c>
      <c r="D78" s="125">
        <v>0.85</v>
      </c>
      <c r="E78" s="125">
        <v>0.78</v>
      </c>
      <c r="F78" s="125">
        <v>0.84</v>
      </c>
      <c r="G78" s="129">
        <v>0.79</v>
      </c>
      <c r="H78" s="125"/>
      <c r="I78" s="130" t="s">
        <v>9</v>
      </c>
      <c r="J78" s="131">
        <v>0.58</v>
      </c>
      <c r="K78" s="125">
        <v>0.57</v>
      </c>
      <c r="L78" s="125">
        <v>0.61</v>
      </c>
      <c r="M78" s="128">
        <v>0.58</v>
      </c>
      <c r="N78" s="125">
        <v>0.63</v>
      </c>
      <c r="O78" s="129">
        <v>0.57</v>
      </c>
      <c r="Q78" s="128" t="str">
        <f t="shared" si="10"/>
        <v>EDT/s</v>
      </c>
      <c r="R78" s="127">
        <f t="shared" si="11"/>
        <v>0.25</v>
      </c>
      <c r="S78" s="127">
        <f t="shared" si="11"/>
        <v>0.25</v>
      </c>
      <c r="T78" s="127">
        <f t="shared" si="11"/>
        <v>0.24</v>
      </c>
      <c r="U78" s="127">
        <f t="shared" si="11"/>
        <v>0.20000000000000007</v>
      </c>
      <c r="V78" s="127">
        <f t="shared" si="11"/>
        <v>0.20999999999999996</v>
      </c>
      <c r="W78" s="127">
        <f t="shared" si="11"/>
        <v>0.22000000000000008</v>
      </c>
    </row>
    <row r="79" spans="1:23" ht="12.75">
      <c r="A79" s="130" t="s">
        <v>10</v>
      </c>
      <c r="B79" s="131">
        <v>61.1</v>
      </c>
      <c r="C79" s="125">
        <v>64.3</v>
      </c>
      <c r="D79" s="125">
        <v>56.7</v>
      </c>
      <c r="E79" s="125">
        <v>66.7</v>
      </c>
      <c r="F79" s="125">
        <v>58</v>
      </c>
      <c r="G79" s="129">
        <v>66.5</v>
      </c>
      <c r="H79" s="125"/>
      <c r="I79" s="130" t="s">
        <v>10</v>
      </c>
      <c r="J79" s="131">
        <v>74</v>
      </c>
      <c r="K79" s="125">
        <v>75.8</v>
      </c>
      <c r="L79" s="125">
        <v>69.4</v>
      </c>
      <c r="M79" s="128">
        <v>76.2</v>
      </c>
      <c r="N79" s="125">
        <v>70</v>
      </c>
      <c r="O79" s="129">
        <v>76.1</v>
      </c>
      <c r="Q79" s="128" t="str">
        <f t="shared" si="10"/>
        <v>D/%</v>
      </c>
      <c r="R79" s="127">
        <f t="shared" si="11"/>
        <v>-12.899999999999999</v>
      </c>
      <c r="S79" s="127">
        <f t="shared" si="11"/>
        <v>-11.5</v>
      </c>
      <c r="T79" s="127">
        <f t="shared" si="11"/>
        <v>-12.700000000000003</v>
      </c>
      <c r="U79" s="127">
        <f t="shared" si="11"/>
        <v>-9.5</v>
      </c>
      <c r="V79" s="127">
        <f t="shared" si="11"/>
        <v>-12</v>
      </c>
      <c r="W79" s="127">
        <f t="shared" si="11"/>
        <v>-9.599999999999994</v>
      </c>
    </row>
    <row r="80" spans="1:23" ht="12.75">
      <c r="A80" s="130" t="s">
        <v>11</v>
      </c>
      <c r="B80" s="131">
        <v>5</v>
      </c>
      <c r="C80" s="125">
        <v>5.6</v>
      </c>
      <c r="D80" s="125">
        <v>4.5</v>
      </c>
      <c r="E80" s="125">
        <v>6.1</v>
      </c>
      <c r="F80" s="125">
        <v>4.6</v>
      </c>
      <c r="G80" s="129">
        <v>5.9</v>
      </c>
      <c r="H80" s="125"/>
      <c r="I80" s="130" t="s">
        <v>11</v>
      </c>
      <c r="J80" s="131">
        <v>8.1</v>
      </c>
      <c r="K80" s="125">
        <v>8.8</v>
      </c>
      <c r="L80" s="125">
        <v>7.3</v>
      </c>
      <c r="M80" s="128">
        <v>8.8</v>
      </c>
      <c r="N80" s="125">
        <v>7.3</v>
      </c>
      <c r="O80" s="129">
        <v>8.7</v>
      </c>
      <c r="Q80" s="128" t="str">
        <f t="shared" si="10"/>
        <v>C/dB</v>
      </c>
      <c r="R80" s="127">
        <f t="shared" si="11"/>
        <v>-3.0999999999999996</v>
      </c>
      <c r="S80" s="127">
        <f t="shared" si="11"/>
        <v>-3.200000000000001</v>
      </c>
      <c r="T80" s="127">
        <f t="shared" si="11"/>
        <v>-2.8</v>
      </c>
      <c r="U80" s="127">
        <f t="shared" si="11"/>
        <v>-2.700000000000001</v>
      </c>
      <c r="V80" s="127">
        <f t="shared" si="11"/>
        <v>-2.7</v>
      </c>
      <c r="W80" s="127">
        <f t="shared" si="11"/>
        <v>-2.799999999999999</v>
      </c>
    </row>
    <row r="81" spans="1:23" ht="12.75">
      <c r="A81" s="130" t="s">
        <v>12</v>
      </c>
      <c r="B81" s="131">
        <v>55.3</v>
      </c>
      <c r="C81" s="125">
        <v>49.9</v>
      </c>
      <c r="D81" s="125">
        <v>59.8</v>
      </c>
      <c r="E81" s="125">
        <v>46.7</v>
      </c>
      <c r="F81" s="125">
        <v>58.3</v>
      </c>
      <c r="G81" s="129">
        <v>47.9</v>
      </c>
      <c r="H81" s="125"/>
      <c r="I81" s="130" t="s">
        <v>12</v>
      </c>
      <c r="J81" s="131">
        <v>37.4</v>
      </c>
      <c r="K81" s="125">
        <v>32.8</v>
      </c>
      <c r="L81" s="125">
        <v>41.8</v>
      </c>
      <c r="M81" s="128">
        <v>32.1</v>
      </c>
      <c r="N81" s="125">
        <v>41.1</v>
      </c>
      <c r="O81" s="129">
        <v>33.5</v>
      </c>
      <c r="Q81" s="128" t="str">
        <f t="shared" si="10"/>
        <v>TS/ms</v>
      </c>
      <c r="R81" s="127">
        <f t="shared" si="11"/>
        <v>17.9</v>
      </c>
      <c r="S81" s="127">
        <f t="shared" si="11"/>
        <v>17.1</v>
      </c>
      <c r="T81" s="127">
        <f t="shared" si="11"/>
        <v>18</v>
      </c>
      <c r="U81" s="127">
        <f t="shared" si="11"/>
        <v>14.600000000000001</v>
      </c>
      <c r="V81" s="127">
        <f t="shared" si="11"/>
        <v>17.199999999999996</v>
      </c>
      <c r="W81" s="127">
        <f t="shared" si="11"/>
        <v>14.399999999999999</v>
      </c>
    </row>
    <row r="82" spans="1:23" ht="12.75">
      <c r="A82" s="130" t="s">
        <v>13</v>
      </c>
      <c r="B82" s="131">
        <v>18.2</v>
      </c>
      <c r="C82" s="125">
        <v>19.4</v>
      </c>
      <c r="D82" s="125">
        <v>18</v>
      </c>
      <c r="E82" s="125">
        <v>19.2</v>
      </c>
      <c r="F82" s="125">
        <v>18.3</v>
      </c>
      <c r="G82" s="129">
        <v>19.4</v>
      </c>
      <c r="H82" s="125"/>
      <c r="I82" s="130" t="s">
        <v>13</v>
      </c>
      <c r="J82" s="131">
        <v>16.8</v>
      </c>
      <c r="K82" s="125">
        <v>18.4</v>
      </c>
      <c r="L82" s="125">
        <v>16.8</v>
      </c>
      <c r="M82" s="128">
        <v>18</v>
      </c>
      <c r="N82" s="125">
        <v>17.2</v>
      </c>
      <c r="O82" s="129">
        <v>18.5</v>
      </c>
      <c r="Q82" s="128" t="str">
        <f t="shared" si="10"/>
        <v>G/dB</v>
      </c>
      <c r="R82" s="127">
        <f t="shared" si="11"/>
        <v>1.3999999999999986</v>
      </c>
      <c r="S82" s="127">
        <f t="shared" si="11"/>
        <v>1</v>
      </c>
      <c r="T82" s="127">
        <f t="shared" si="11"/>
        <v>1.1999999999999993</v>
      </c>
      <c r="U82" s="127">
        <f t="shared" si="11"/>
        <v>1.1999999999999993</v>
      </c>
      <c r="V82" s="127">
        <f t="shared" si="11"/>
        <v>1.1000000000000014</v>
      </c>
      <c r="W82" s="127">
        <f t="shared" si="11"/>
        <v>0.8999999999999986</v>
      </c>
    </row>
    <row r="83" spans="1:23" ht="12.75">
      <c r="A83" s="130" t="s">
        <v>14</v>
      </c>
      <c r="B83" s="131"/>
      <c r="C83" s="125"/>
      <c r="D83" s="125"/>
      <c r="E83" s="125"/>
      <c r="F83" s="125"/>
      <c r="G83" s="129"/>
      <c r="H83" s="125"/>
      <c r="I83" s="130" t="s">
        <v>14</v>
      </c>
      <c r="J83" s="131"/>
      <c r="K83" s="125"/>
      <c r="L83" s="125"/>
      <c r="M83" s="125"/>
      <c r="N83" s="125"/>
      <c r="O83" s="129"/>
      <c r="Q83" s="128" t="str">
        <f t="shared" si="10"/>
        <v>LF/%</v>
      </c>
      <c r="R83" s="127">
        <f t="shared" si="11"/>
        <v>0</v>
      </c>
      <c r="S83" s="127">
        <f t="shared" si="11"/>
        <v>0</v>
      </c>
      <c r="T83" s="127">
        <f t="shared" si="11"/>
        <v>0</v>
      </c>
      <c r="U83" s="127">
        <f t="shared" si="11"/>
        <v>0</v>
      </c>
      <c r="V83" s="127">
        <f t="shared" si="11"/>
        <v>0</v>
      </c>
      <c r="W83" s="127">
        <f t="shared" si="11"/>
        <v>0</v>
      </c>
    </row>
    <row r="84" spans="1:23" ht="12.75">
      <c r="A84" s="130" t="s">
        <v>15</v>
      </c>
      <c r="B84" s="131"/>
      <c r="C84" s="125"/>
      <c r="D84" s="125"/>
      <c r="E84" s="125"/>
      <c r="F84" s="125"/>
      <c r="G84" s="129"/>
      <c r="H84" s="125"/>
      <c r="I84" s="130" t="s">
        <v>15</v>
      </c>
      <c r="J84" s="131"/>
      <c r="K84" s="125"/>
      <c r="L84" s="125"/>
      <c r="M84" s="125"/>
      <c r="N84" s="125"/>
      <c r="O84" s="129"/>
      <c r="Q84" s="128" t="str">
        <f t="shared" si="10"/>
        <v>LFC/%</v>
      </c>
      <c r="R84" s="127">
        <f t="shared" si="11"/>
        <v>0</v>
      </c>
      <c r="S84" s="127">
        <f t="shared" si="11"/>
        <v>0</v>
      </c>
      <c r="T84" s="127">
        <f t="shared" si="11"/>
        <v>0</v>
      </c>
      <c r="U84" s="127">
        <f t="shared" si="11"/>
        <v>0</v>
      </c>
      <c r="V84" s="127">
        <f t="shared" si="11"/>
        <v>0</v>
      </c>
      <c r="W84" s="127">
        <f t="shared" si="11"/>
        <v>0</v>
      </c>
    </row>
    <row r="85" spans="1:23" ht="12.75">
      <c r="A85" s="134" t="s">
        <v>16</v>
      </c>
      <c r="B85" s="135"/>
      <c r="C85" s="132"/>
      <c r="D85" s="132"/>
      <c r="E85" s="132"/>
      <c r="F85" s="132"/>
      <c r="G85" s="133"/>
      <c r="H85" s="125"/>
      <c r="I85" s="134" t="s">
        <v>16</v>
      </c>
      <c r="J85" s="135"/>
      <c r="K85" s="132"/>
      <c r="L85" s="132"/>
      <c r="M85" s="132"/>
      <c r="N85" s="132"/>
      <c r="O85" s="133"/>
      <c r="Q85" s="128" t="str">
        <f t="shared" si="10"/>
        <v>IACC</v>
      </c>
      <c r="R85" s="127">
        <f t="shared" si="11"/>
        <v>0</v>
      </c>
      <c r="S85" s="127">
        <f t="shared" si="11"/>
        <v>0</v>
      </c>
      <c r="T85" s="127">
        <f t="shared" si="11"/>
        <v>0</v>
      </c>
      <c r="U85" s="127">
        <f t="shared" si="11"/>
        <v>0</v>
      </c>
      <c r="V85" s="127">
        <f t="shared" si="11"/>
        <v>0</v>
      </c>
      <c r="W85" s="127">
        <f t="shared" si="11"/>
        <v>0</v>
      </c>
    </row>
    <row r="86" spans="5:15" ht="12.75">
      <c r="E86" s="136"/>
      <c r="F86" s="136"/>
      <c r="G86" s="136"/>
      <c r="H86" s="136"/>
      <c r="M86" s="136"/>
      <c r="N86" s="136"/>
      <c r="O86" s="136"/>
    </row>
    <row r="87" spans="5:15" ht="12.75">
      <c r="E87" s="136"/>
      <c r="F87" s="136"/>
      <c r="G87" s="136"/>
      <c r="H87" s="136"/>
      <c r="M87" s="136"/>
      <c r="N87" s="136"/>
      <c r="O87" s="136"/>
    </row>
    <row r="88" spans="1:15" ht="12.75">
      <c r="A88" s="146"/>
      <c r="E88" s="136"/>
      <c r="F88" s="136"/>
      <c r="G88" s="136"/>
      <c r="H88" s="136"/>
      <c r="I88" s="146"/>
      <c r="M88" s="136"/>
      <c r="N88" s="136"/>
      <c r="O88" s="136"/>
    </row>
    <row r="89" spans="5:15" ht="12.75">
      <c r="E89" s="136"/>
      <c r="F89" s="136"/>
      <c r="G89" s="136"/>
      <c r="H89" s="136"/>
      <c r="M89" s="136"/>
      <c r="N89" s="136"/>
      <c r="O89" s="136"/>
    </row>
    <row r="90" spans="5:15" ht="12.75">
      <c r="E90" s="136"/>
      <c r="F90" s="136"/>
      <c r="G90" s="136"/>
      <c r="H90" s="136"/>
      <c r="M90" s="136"/>
      <c r="N90" s="136"/>
      <c r="O90" s="136"/>
    </row>
    <row r="91" spans="5:15" ht="12.75">
      <c r="E91" s="136"/>
      <c r="F91" s="136"/>
      <c r="G91" s="136"/>
      <c r="H91" s="136"/>
      <c r="M91" s="136"/>
      <c r="N91" s="136"/>
      <c r="O91" s="136"/>
    </row>
    <row r="92" spans="5:15" ht="12.75">
      <c r="E92" s="136"/>
      <c r="F92" s="136"/>
      <c r="G92" s="136"/>
      <c r="H92" s="136"/>
      <c r="M92" s="136"/>
      <c r="N92" s="136"/>
      <c r="O92" s="136"/>
    </row>
    <row r="93" spans="5:15" ht="12.75">
      <c r="E93" s="136"/>
      <c r="F93" s="136"/>
      <c r="G93" s="136"/>
      <c r="H93" s="136"/>
      <c r="M93" s="136"/>
      <c r="N93" s="136"/>
      <c r="O93" s="136"/>
    </row>
  </sheetData>
  <printOptions/>
  <pageMargins left="0.75" right="0.75" top="1" bottom="1" header="0.4921259845" footer="0.4921259845"/>
  <pageSetup fitToHeight="1" fitToWidth="1" horizontalDpi="300" verticalDpi="300" orientation="portrait" paperSize="9" scale="52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W93"/>
  <sheetViews>
    <sheetView zoomScale="75" zoomScaleNormal="75" workbookViewId="0" topLeftCell="A1">
      <selection activeCell="F37" sqref="F37"/>
    </sheetView>
  </sheetViews>
  <sheetFormatPr defaultColWidth="11.5546875" defaultRowHeight="15"/>
  <cols>
    <col min="1" max="1" width="7.77734375" style="147" customWidth="1"/>
    <col min="2" max="15" width="6.77734375" style="147" customWidth="1"/>
    <col min="16" max="16" width="6.77734375" style="128" customWidth="1"/>
    <col min="17" max="17" width="11.5546875" style="128" customWidth="1" collapsed="1"/>
    <col min="18" max="16384" width="11.5546875" style="128" customWidth="1"/>
  </cols>
  <sheetData>
    <row r="1" spans="1:10" ht="13.5" thickBot="1">
      <c r="A1" s="307"/>
      <c r="B1" s="307"/>
      <c r="C1" s="307"/>
      <c r="D1" s="307"/>
      <c r="E1" s="307"/>
      <c r="F1" s="307"/>
      <c r="G1" s="307"/>
      <c r="H1" s="307"/>
      <c r="I1" s="307"/>
      <c r="J1" s="307"/>
    </row>
    <row r="2" spans="1:6" ht="13.5" thickBot="1">
      <c r="A2" s="121"/>
      <c r="B2" s="120"/>
      <c r="F2" s="308"/>
    </row>
    <row r="3" ht="12.75">
      <c r="B3" s="308"/>
    </row>
    <row r="4" spans="2:8" ht="12.75">
      <c r="B4" s="309"/>
      <c r="E4" s="309"/>
      <c r="H4" s="310"/>
    </row>
    <row r="5" spans="1:7" ht="12.75">
      <c r="A5" s="311"/>
      <c r="B5" s="312"/>
      <c r="C5" s="313"/>
      <c r="D5" s="314"/>
      <c r="G5" s="311"/>
    </row>
    <row r="6" spans="1:3" ht="12" customHeight="1">
      <c r="A6" s="315"/>
      <c r="B6" s="312"/>
      <c r="C6" s="316"/>
    </row>
    <row r="7" spans="2:3" ht="12.75">
      <c r="B7" s="312"/>
      <c r="C7" s="316"/>
    </row>
    <row r="8" spans="1:7" ht="12.75">
      <c r="A8" s="311"/>
      <c r="B8" s="312"/>
      <c r="C8" s="312"/>
      <c r="G8" s="308"/>
    </row>
    <row r="10" spans="9:15" ht="12.75">
      <c r="I10" s="308"/>
      <c r="J10" s="308"/>
      <c r="K10" s="308"/>
      <c r="L10" s="308"/>
      <c r="M10" s="308"/>
      <c r="N10" s="308"/>
      <c r="O10" s="308"/>
    </row>
    <row r="11" ht="12.75">
      <c r="A11" s="308"/>
    </row>
    <row r="13" spans="1:2" ht="12.75">
      <c r="A13" s="317"/>
      <c r="B13" s="317"/>
    </row>
    <row r="14" spans="1:17" ht="12.75">
      <c r="A14" s="147" t="s">
        <v>27</v>
      </c>
      <c r="I14" s="147" t="s">
        <v>28</v>
      </c>
      <c r="Q14" s="128" t="s">
        <v>32</v>
      </c>
    </row>
    <row r="15" spans="1:18" ht="12.75">
      <c r="A15" s="318" t="s">
        <v>0</v>
      </c>
      <c r="B15" s="319" t="s">
        <v>1</v>
      </c>
      <c r="E15" s="320"/>
      <c r="F15" s="320"/>
      <c r="G15" s="320"/>
      <c r="H15" s="320"/>
      <c r="I15" s="318" t="s">
        <v>0</v>
      </c>
      <c r="J15" s="319" t="s">
        <v>1</v>
      </c>
      <c r="M15" s="320"/>
      <c r="N15" s="320"/>
      <c r="O15" s="320"/>
      <c r="Q15" s="128" t="str">
        <f>+A15</f>
        <v>125 Hz</v>
      </c>
      <c r="R15" s="128" t="str">
        <f>+B15</f>
        <v>octave</v>
      </c>
    </row>
    <row r="16" spans="1:23" ht="12.75">
      <c r="A16" s="321"/>
      <c r="B16" s="322" t="s">
        <v>2</v>
      </c>
      <c r="C16" s="322" t="s">
        <v>3</v>
      </c>
      <c r="D16" s="323" t="s">
        <v>4</v>
      </c>
      <c r="E16" s="323" t="s">
        <v>5</v>
      </c>
      <c r="F16" s="322" t="s">
        <v>6</v>
      </c>
      <c r="G16" s="323" t="s">
        <v>7</v>
      </c>
      <c r="H16" s="324"/>
      <c r="I16" s="321"/>
      <c r="J16" s="322" t="s">
        <v>2</v>
      </c>
      <c r="K16" s="322" t="s">
        <v>3</v>
      </c>
      <c r="L16" s="323" t="s">
        <v>4</v>
      </c>
      <c r="M16" s="323" t="s">
        <v>5</v>
      </c>
      <c r="N16" s="322" t="s">
        <v>6</v>
      </c>
      <c r="O16" s="323" t="s">
        <v>7</v>
      </c>
      <c r="P16" s="157"/>
      <c r="Q16" s="128">
        <f>+A16</f>
        <v>0</v>
      </c>
      <c r="R16" s="128" t="str">
        <f>+B16</f>
        <v>S1R1</v>
      </c>
      <c r="S16" s="128" t="str">
        <f>+C16</f>
        <v>S1R2</v>
      </c>
      <c r="T16" s="128" t="str">
        <f>+D16</f>
        <v>S1R3</v>
      </c>
      <c r="U16" s="128" t="str">
        <f>+E16</f>
        <v>S2R1</v>
      </c>
      <c r="V16" s="128" t="str">
        <f>+F16</f>
        <v>S2R2</v>
      </c>
      <c r="W16" s="128" t="str">
        <f>+G16</f>
        <v>S2R3</v>
      </c>
    </row>
    <row r="17" spans="1:23" ht="12.75">
      <c r="A17" s="325" t="s">
        <v>8</v>
      </c>
      <c r="B17" s="147">
        <v>0.78</v>
      </c>
      <c r="C17" s="147">
        <v>0.78</v>
      </c>
      <c r="D17" s="147">
        <v>0.79</v>
      </c>
      <c r="E17" s="147">
        <v>0.79</v>
      </c>
      <c r="F17" s="147">
        <v>0.79</v>
      </c>
      <c r="G17" s="326">
        <v>0.79</v>
      </c>
      <c r="H17" s="327"/>
      <c r="I17" s="325" t="s">
        <v>8</v>
      </c>
      <c r="J17" s="147">
        <v>0.75</v>
      </c>
      <c r="K17" s="147">
        <v>0.75</v>
      </c>
      <c r="L17" s="147">
        <v>0.75</v>
      </c>
      <c r="M17" s="147">
        <v>0.74</v>
      </c>
      <c r="N17" s="147">
        <v>0.74</v>
      </c>
      <c r="O17" s="326">
        <v>0.74</v>
      </c>
      <c r="P17" s="158"/>
      <c r="Q17" s="128" t="str">
        <f aca="true" t="shared" si="0" ref="Q17:Q25">+A17</f>
        <v>T30/s</v>
      </c>
      <c r="R17" s="127">
        <f aca="true" t="shared" si="1" ref="R17:W25">+B17-J17</f>
        <v>0.030000000000000027</v>
      </c>
      <c r="S17" s="127">
        <f t="shared" si="1"/>
        <v>0.030000000000000027</v>
      </c>
      <c r="T17" s="127">
        <f t="shared" si="1"/>
        <v>0.040000000000000036</v>
      </c>
      <c r="U17" s="127">
        <f t="shared" si="1"/>
        <v>0.050000000000000044</v>
      </c>
      <c r="V17" s="127">
        <f t="shared" si="1"/>
        <v>0.050000000000000044</v>
      </c>
      <c r="W17" s="127">
        <f t="shared" si="1"/>
        <v>0.050000000000000044</v>
      </c>
    </row>
    <row r="18" spans="1:23" ht="12.75">
      <c r="A18" s="325" t="s">
        <v>9</v>
      </c>
      <c r="B18" s="147">
        <v>0.81</v>
      </c>
      <c r="C18" s="147">
        <v>0.79</v>
      </c>
      <c r="D18" s="147">
        <v>0.8</v>
      </c>
      <c r="E18" s="147">
        <v>0.76</v>
      </c>
      <c r="F18" s="147">
        <v>0.77</v>
      </c>
      <c r="G18" s="328">
        <v>0.75</v>
      </c>
      <c r="H18" s="327"/>
      <c r="I18" s="325" t="s">
        <v>9</v>
      </c>
      <c r="J18" s="147">
        <v>0.76</v>
      </c>
      <c r="K18" s="147">
        <v>0.74</v>
      </c>
      <c r="L18" s="147">
        <v>0.76</v>
      </c>
      <c r="M18" s="147">
        <v>0.73</v>
      </c>
      <c r="N18" s="147">
        <v>0.74</v>
      </c>
      <c r="O18" s="328">
        <v>0.72</v>
      </c>
      <c r="P18" s="158"/>
      <c r="Q18" s="128" t="str">
        <f t="shared" si="0"/>
        <v>EDT/s</v>
      </c>
      <c r="R18" s="127">
        <f t="shared" si="1"/>
        <v>0.050000000000000044</v>
      </c>
      <c r="S18" s="127">
        <f t="shared" si="1"/>
        <v>0.050000000000000044</v>
      </c>
      <c r="T18" s="127">
        <f t="shared" si="1"/>
        <v>0.040000000000000036</v>
      </c>
      <c r="U18" s="127">
        <f t="shared" si="1"/>
        <v>0.030000000000000027</v>
      </c>
      <c r="V18" s="127">
        <f t="shared" si="1"/>
        <v>0.030000000000000027</v>
      </c>
      <c r="W18" s="127">
        <f t="shared" si="1"/>
        <v>0.030000000000000027</v>
      </c>
    </row>
    <row r="19" spans="1:23" ht="12.75">
      <c r="A19" s="325" t="s">
        <v>10</v>
      </c>
      <c r="B19" s="147">
        <v>60.38</v>
      </c>
      <c r="C19" s="147">
        <v>67.58</v>
      </c>
      <c r="D19" s="147">
        <v>63.63</v>
      </c>
      <c r="E19" s="147">
        <v>68.43</v>
      </c>
      <c r="F19" s="147">
        <v>63.31</v>
      </c>
      <c r="G19" s="328">
        <v>69.47</v>
      </c>
      <c r="H19" s="327"/>
      <c r="I19" s="325" t="s">
        <v>10</v>
      </c>
      <c r="J19" s="147">
        <v>65.53</v>
      </c>
      <c r="K19" s="147">
        <v>69.07</v>
      </c>
      <c r="L19" s="147">
        <v>62.29</v>
      </c>
      <c r="M19" s="147">
        <v>69.61</v>
      </c>
      <c r="N19" s="147">
        <v>64.9</v>
      </c>
      <c r="O19" s="328">
        <v>70.58</v>
      </c>
      <c r="P19" s="158"/>
      <c r="Q19" s="128" t="str">
        <f t="shared" si="0"/>
        <v>D/%</v>
      </c>
      <c r="R19" s="127">
        <f t="shared" si="1"/>
        <v>-5.149999999999999</v>
      </c>
      <c r="S19" s="127">
        <f t="shared" si="1"/>
        <v>-1.4899999999999949</v>
      </c>
      <c r="T19" s="127">
        <f t="shared" si="1"/>
        <v>1.3400000000000034</v>
      </c>
      <c r="U19" s="127">
        <f t="shared" si="1"/>
        <v>-1.1799999999999926</v>
      </c>
      <c r="V19" s="127">
        <f t="shared" si="1"/>
        <v>-1.5900000000000034</v>
      </c>
      <c r="W19" s="127">
        <f t="shared" si="1"/>
        <v>-1.1099999999999994</v>
      </c>
    </row>
    <row r="20" spans="1:23" ht="12.75">
      <c r="A20" s="325" t="s">
        <v>52</v>
      </c>
      <c r="B20" s="147">
        <v>4.9</v>
      </c>
      <c r="C20" s="147">
        <v>6.29</v>
      </c>
      <c r="D20" s="147">
        <v>5.63</v>
      </c>
      <c r="E20" s="147">
        <v>6.48</v>
      </c>
      <c r="F20" s="147">
        <v>5.51</v>
      </c>
      <c r="G20" s="328">
        <v>6.7</v>
      </c>
      <c r="H20" s="327"/>
      <c r="I20" s="325" t="s">
        <v>11</v>
      </c>
      <c r="J20" s="147">
        <v>6.01</v>
      </c>
      <c r="K20" s="147">
        <v>6.68</v>
      </c>
      <c r="L20" s="147">
        <v>5.38</v>
      </c>
      <c r="M20" s="147">
        <v>6.82</v>
      </c>
      <c r="N20" s="147">
        <v>5.88</v>
      </c>
      <c r="O20" s="328">
        <v>7</v>
      </c>
      <c r="P20" s="158"/>
      <c r="Q20" s="128" t="str">
        <f t="shared" si="0"/>
        <v>C80/dB</v>
      </c>
      <c r="R20" s="127">
        <f t="shared" si="1"/>
        <v>-1.1099999999999994</v>
      </c>
      <c r="S20" s="127">
        <f t="shared" si="1"/>
        <v>-0.3899999999999997</v>
      </c>
      <c r="T20" s="127">
        <f t="shared" si="1"/>
        <v>0.25</v>
      </c>
      <c r="U20" s="127">
        <f t="shared" si="1"/>
        <v>-0.33999999999999986</v>
      </c>
      <c r="V20" s="127">
        <f t="shared" si="1"/>
        <v>-0.3700000000000001</v>
      </c>
      <c r="W20" s="127">
        <f t="shared" si="1"/>
        <v>-0.2999999999999998</v>
      </c>
    </row>
    <row r="21" spans="1:23" ht="12.75">
      <c r="A21" s="325" t="s">
        <v>53</v>
      </c>
      <c r="B21" s="147">
        <v>56.4</v>
      </c>
      <c r="C21" s="147">
        <v>45.3</v>
      </c>
      <c r="D21" s="147">
        <v>51.4</v>
      </c>
      <c r="E21" s="147">
        <v>44.7</v>
      </c>
      <c r="F21" s="147">
        <v>52.3</v>
      </c>
      <c r="G21" s="328">
        <v>43.9</v>
      </c>
      <c r="H21" s="327"/>
      <c r="I21" s="325" t="s">
        <v>12</v>
      </c>
      <c r="J21" s="147">
        <v>48.6</v>
      </c>
      <c r="K21" s="147">
        <v>43.1</v>
      </c>
      <c r="L21" s="147">
        <v>53.3</v>
      </c>
      <c r="M21" s="147">
        <v>42.5</v>
      </c>
      <c r="N21" s="147">
        <v>50</v>
      </c>
      <c r="O21" s="328">
        <v>42</v>
      </c>
      <c r="P21" s="158"/>
      <c r="Q21" s="128" t="str">
        <f t="shared" si="0"/>
        <v>Ts/ms</v>
      </c>
      <c r="R21" s="127">
        <f t="shared" si="1"/>
        <v>7.799999999999997</v>
      </c>
      <c r="S21" s="127">
        <f t="shared" si="1"/>
        <v>2.1999999999999957</v>
      </c>
      <c r="T21" s="127">
        <f t="shared" si="1"/>
        <v>-1.8999999999999986</v>
      </c>
      <c r="U21" s="127">
        <f t="shared" si="1"/>
        <v>2.200000000000003</v>
      </c>
      <c r="V21" s="127">
        <f t="shared" si="1"/>
        <v>2.299999999999997</v>
      </c>
      <c r="W21" s="127">
        <f t="shared" si="1"/>
        <v>1.8999999999999986</v>
      </c>
    </row>
    <row r="22" spans="1:23" ht="12.75">
      <c r="A22" s="325" t="s">
        <v>13</v>
      </c>
      <c r="B22" s="147">
        <v>16.8</v>
      </c>
      <c r="C22" s="147">
        <v>18.1</v>
      </c>
      <c r="D22" s="147">
        <v>17.3</v>
      </c>
      <c r="E22" s="147">
        <v>18.2</v>
      </c>
      <c r="F22" s="147">
        <v>17.2</v>
      </c>
      <c r="G22" s="328">
        <v>18.4</v>
      </c>
      <c r="H22" s="327"/>
      <c r="I22" s="325" t="s">
        <v>13</v>
      </c>
      <c r="J22" s="147">
        <v>17.3</v>
      </c>
      <c r="K22" s="147">
        <v>18.1</v>
      </c>
      <c r="L22" s="147">
        <v>16.7</v>
      </c>
      <c r="M22" s="147">
        <v>18.2</v>
      </c>
      <c r="N22" s="147">
        <v>17.2</v>
      </c>
      <c r="O22" s="328">
        <v>18.4</v>
      </c>
      <c r="P22" s="158"/>
      <c r="Q22" s="128" t="str">
        <f t="shared" si="0"/>
        <v>G/dB</v>
      </c>
      <c r="R22" s="127">
        <f t="shared" si="1"/>
        <v>-0.5</v>
      </c>
      <c r="S22" s="127">
        <f t="shared" si="1"/>
        <v>0</v>
      </c>
      <c r="T22" s="127">
        <f t="shared" si="1"/>
        <v>0.6000000000000014</v>
      </c>
      <c r="U22" s="127">
        <f t="shared" si="1"/>
        <v>0</v>
      </c>
      <c r="V22" s="127">
        <f t="shared" si="1"/>
        <v>0</v>
      </c>
      <c r="W22" s="127">
        <f t="shared" si="1"/>
        <v>0</v>
      </c>
    </row>
    <row r="23" spans="1:23" ht="12.75">
      <c r="A23" s="325" t="s">
        <v>14</v>
      </c>
      <c r="B23" s="147">
        <v>31.38</v>
      </c>
      <c r="C23" s="147">
        <v>27.71</v>
      </c>
      <c r="D23" s="147">
        <v>37.51</v>
      </c>
      <c r="E23" s="147">
        <v>27.69</v>
      </c>
      <c r="F23" s="147">
        <v>37.21</v>
      </c>
      <c r="G23" s="328">
        <v>33.09</v>
      </c>
      <c r="H23" s="327"/>
      <c r="I23" s="325" t="s">
        <v>14</v>
      </c>
      <c r="J23" s="147">
        <v>36.59</v>
      </c>
      <c r="K23" s="147">
        <v>27.97</v>
      </c>
      <c r="L23" s="147">
        <v>32.31</v>
      </c>
      <c r="M23" s="147">
        <v>28.37</v>
      </c>
      <c r="N23" s="147">
        <v>36.79</v>
      </c>
      <c r="O23" s="328">
        <v>33.26</v>
      </c>
      <c r="Q23" s="128" t="str">
        <f t="shared" si="0"/>
        <v>LF/%</v>
      </c>
      <c r="R23" s="127">
        <f t="shared" si="1"/>
        <v>-5.210000000000004</v>
      </c>
      <c r="S23" s="127">
        <f t="shared" si="1"/>
        <v>-0.259999999999998</v>
      </c>
      <c r="T23" s="127">
        <f t="shared" si="1"/>
        <v>5.199999999999996</v>
      </c>
      <c r="U23" s="127">
        <f t="shared" si="1"/>
        <v>-0.6799999999999997</v>
      </c>
      <c r="V23" s="127">
        <f t="shared" si="1"/>
        <v>0.4200000000000017</v>
      </c>
      <c r="W23" s="127">
        <f t="shared" si="1"/>
        <v>-0.1699999999999946</v>
      </c>
    </row>
    <row r="24" spans="1:23" ht="12.75">
      <c r="A24" s="325" t="s">
        <v>15</v>
      </c>
      <c r="B24" s="147">
        <v>43.58</v>
      </c>
      <c r="C24" s="147">
        <v>35.96</v>
      </c>
      <c r="D24" s="147">
        <v>46.38</v>
      </c>
      <c r="E24" s="147">
        <v>35.93</v>
      </c>
      <c r="F24" s="147">
        <v>47.2</v>
      </c>
      <c r="G24" s="328">
        <v>41.55</v>
      </c>
      <c r="H24" s="327"/>
      <c r="I24" s="325" t="s">
        <v>15</v>
      </c>
      <c r="J24" s="147">
        <v>45.72</v>
      </c>
      <c r="K24" s="147">
        <v>36.27</v>
      </c>
      <c r="L24" s="147">
        <v>44.35</v>
      </c>
      <c r="M24" s="147">
        <v>36.66</v>
      </c>
      <c r="N24" s="147">
        <v>46.87</v>
      </c>
      <c r="O24" s="328">
        <v>41.77</v>
      </c>
      <c r="Q24" s="128" t="str">
        <f t="shared" si="0"/>
        <v>LFC/%</v>
      </c>
      <c r="R24" s="127">
        <f t="shared" si="1"/>
        <v>-2.1400000000000006</v>
      </c>
      <c r="S24" s="127">
        <f t="shared" si="1"/>
        <v>-0.3100000000000023</v>
      </c>
      <c r="T24" s="127">
        <f t="shared" si="1"/>
        <v>2.030000000000001</v>
      </c>
      <c r="U24" s="127">
        <f t="shared" si="1"/>
        <v>-0.7299999999999969</v>
      </c>
      <c r="V24" s="127">
        <f t="shared" si="1"/>
        <v>0.3300000000000054</v>
      </c>
      <c r="W24" s="127">
        <f t="shared" si="1"/>
        <v>-0.22000000000000597</v>
      </c>
    </row>
    <row r="25" spans="1:23" ht="12.75">
      <c r="A25" s="329" t="s">
        <v>16</v>
      </c>
      <c r="B25" s="330"/>
      <c r="C25" s="331"/>
      <c r="D25" s="331"/>
      <c r="E25" s="331"/>
      <c r="F25" s="331"/>
      <c r="G25" s="332"/>
      <c r="H25" s="327"/>
      <c r="I25" s="329" t="s">
        <v>16</v>
      </c>
      <c r="J25" s="330"/>
      <c r="K25" s="331"/>
      <c r="L25" s="331"/>
      <c r="M25" s="331"/>
      <c r="N25" s="331"/>
      <c r="O25" s="332"/>
      <c r="Q25" s="128" t="str">
        <f t="shared" si="0"/>
        <v>IACC</v>
      </c>
      <c r="R25" s="127">
        <f t="shared" si="1"/>
        <v>0</v>
      </c>
      <c r="S25" s="127">
        <f t="shared" si="1"/>
        <v>0</v>
      </c>
      <c r="T25" s="127">
        <f t="shared" si="1"/>
        <v>0</v>
      </c>
      <c r="U25" s="127">
        <f t="shared" si="1"/>
        <v>0</v>
      </c>
      <c r="V25" s="127">
        <f t="shared" si="1"/>
        <v>0</v>
      </c>
      <c r="W25" s="127">
        <f t="shared" si="1"/>
        <v>0</v>
      </c>
    </row>
    <row r="26" spans="5:15" ht="12.75">
      <c r="E26" s="320"/>
      <c r="F26" s="320"/>
      <c r="G26" s="320"/>
      <c r="H26" s="320"/>
      <c r="M26" s="320"/>
      <c r="N26" s="320"/>
      <c r="O26" s="320"/>
    </row>
    <row r="27" spans="1:18" ht="12.75">
      <c r="A27" s="318" t="s">
        <v>17</v>
      </c>
      <c r="B27" s="319" t="s">
        <v>1</v>
      </c>
      <c r="E27" s="320"/>
      <c r="F27" s="320"/>
      <c r="G27" s="320"/>
      <c r="H27" s="320"/>
      <c r="I27" s="318" t="s">
        <v>17</v>
      </c>
      <c r="J27" s="319" t="s">
        <v>1</v>
      </c>
      <c r="M27" s="320"/>
      <c r="N27" s="320"/>
      <c r="O27" s="320"/>
      <c r="Q27" s="128" t="str">
        <f>+A27</f>
        <v>250 Hz</v>
      </c>
      <c r="R27" s="128" t="str">
        <f>+B27</f>
        <v>octave</v>
      </c>
    </row>
    <row r="28" spans="1:23" ht="12.75">
      <c r="A28" s="321"/>
      <c r="B28" s="322" t="s">
        <v>2</v>
      </c>
      <c r="C28" s="322" t="s">
        <v>3</v>
      </c>
      <c r="D28" s="323" t="s">
        <v>4</v>
      </c>
      <c r="E28" s="323" t="s">
        <v>5</v>
      </c>
      <c r="F28" s="322" t="s">
        <v>6</v>
      </c>
      <c r="G28" s="323" t="s">
        <v>7</v>
      </c>
      <c r="H28" s="324"/>
      <c r="I28" s="321"/>
      <c r="J28" s="322" t="s">
        <v>2</v>
      </c>
      <c r="K28" s="322" t="s">
        <v>3</v>
      </c>
      <c r="L28" s="323" t="s">
        <v>4</v>
      </c>
      <c r="M28" s="323" t="s">
        <v>5</v>
      </c>
      <c r="N28" s="322" t="s">
        <v>6</v>
      </c>
      <c r="O28" s="323" t="s">
        <v>7</v>
      </c>
      <c r="Q28" s="128">
        <f>+A28</f>
        <v>0</v>
      </c>
      <c r="R28" s="128" t="str">
        <f>+B28</f>
        <v>S1R1</v>
      </c>
      <c r="S28" s="128" t="str">
        <f>+C28</f>
        <v>S1R2</v>
      </c>
      <c r="T28" s="128" t="str">
        <f>+D28</f>
        <v>S1R3</v>
      </c>
      <c r="U28" s="128" t="str">
        <f>+E28</f>
        <v>S2R1</v>
      </c>
      <c r="V28" s="128" t="str">
        <f>+F28</f>
        <v>S2R2</v>
      </c>
      <c r="W28" s="128" t="str">
        <f>+G28</f>
        <v>S2R3</v>
      </c>
    </row>
    <row r="29" spans="1:23" ht="12.75">
      <c r="A29" s="325" t="s">
        <v>8</v>
      </c>
      <c r="B29" s="147">
        <v>0.95</v>
      </c>
      <c r="C29" s="147">
        <v>0.96</v>
      </c>
      <c r="D29" s="147">
        <v>0.96</v>
      </c>
      <c r="E29" s="147">
        <v>0.98</v>
      </c>
      <c r="F29" s="147">
        <v>0.98</v>
      </c>
      <c r="G29" s="326">
        <v>0.97</v>
      </c>
      <c r="H29" s="327"/>
      <c r="I29" s="325" t="s">
        <v>8</v>
      </c>
      <c r="J29" s="147">
        <v>0.78</v>
      </c>
      <c r="K29" s="147">
        <v>0.78</v>
      </c>
      <c r="L29" s="147">
        <v>0.78</v>
      </c>
      <c r="M29" s="147">
        <v>0.78</v>
      </c>
      <c r="N29" s="147">
        <v>0.78</v>
      </c>
      <c r="O29" s="326">
        <v>0.78</v>
      </c>
      <c r="Q29" s="128" t="str">
        <f aca="true" t="shared" si="2" ref="Q29:Q37">+A29</f>
        <v>T30/s</v>
      </c>
      <c r="R29" s="127">
        <f aca="true" t="shared" si="3" ref="R29:W37">+B29-J29</f>
        <v>0.16999999999999993</v>
      </c>
      <c r="S29" s="127">
        <f t="shared" si="3"/>
        <v>0.17999999999999994</v>
      </c>
      <c r="T29" s="127">
        <f t="shared" si="3"/>
        <v>0.17999999999999994</v>
      </c>
      <c r="U29" s="127">
        <f t="shared" si="3"/>
        <v>0.19999999999999996</v>
      </c>
      <c r="V29" s="127">
        <f t="shared" si="3"/>
        <v>0.19999999999999996</v>
      </c>
      <c r="W29" s="127">
        <f t="shared" si="3"/>
        <v>0.18999999999999995</v>
      </c>
    </row>
    <row r="30" spans="1:23" ht="12.75">
      <c r="A30" s="325" t="s">
        <v>9</v>
      </c>
      <c r="B30" s="147">
        <v>0.98</v>
      </c>
      <c r="C30" s="147">
        <v>0.96</v>
      </c>
      <c r="D30" s="147">
        <v>0.98</v>
      </c>
      <c r="E30" s="147">
        <v>0.95</v>
      </c>
      <c r="F30" s="147">
        <v>0.95</v>
      </c>
      <c r="G30" s="328">
        <v>0.93</v>
      </c>
      <c r="H30" s="327"/>
      <c r="I30" s="325" t="s">
        <v>9</v>
      </c>
      <c r="J30" s="147">
        <v>0.8</v>
      </c>
      <c r="K30" s="147">
        <v>0.78</v>
      </c>
      <c r="L30" s="147">
        <v>0.8</v>
      </c>
      <c r="M30" s="147">
        <v>0.79</v>
      </c>
      <c r="N30" s="147">
        <v>0.79</v>
      </c>
      <c r="O30" s="328">
        <v>0.77</v>
      </c>
      <c r="Q30" s="128" t="str">
        <f t="shared" si="2"/>
        <v>EDT/s</v>
      </c>
      <c r="R30" s="127">
        <f t="shared" si="3"/>
        <v>0.17999999999999994</v>
      </c>
      <c r="S30" s="127">
        <f t="shared" si="3"/>
        <v>0.17999999999999994</v>
      </c>
      <c r="T30" s="127">
        <f t="shared" si="3"/>
        <v>0.17999999999999994</v>
      </c>
      <c r="U30" s="127">
        <f t="shared" si="3"/>
        <v>0.15999999999999992</v>
      </c>
      <c r="V30" s="127">
        <f t="shared" si="3"/>
        <v>0.15999999999999992</v>
      </c>
      <c r="W30" s="127">
        <f t="shared" si="3"/>
        <v>0.16000000000000003</v>
      </c>
    </row>
    <row r="31" spans="1:23" ht="12.75">
      <c r="A31" s="325" t="s">
        <v>10</v>
      </c>
      <c r="B31" s="147">
        <v>52.13</v>
      </c>
      <c r="C31" s="147">
        <v>60.11</v>
      </c>
      <c r="D31" s="147">
        <v>55.73</v>
      </c>
      <c r="E31" s="147">
        <v>60.11</v>
      </c>
      <c r="F31" s="147">
        <v>55.5</v>
      </c>
      <c r="G31" s="328">
        <v>62.08</v>
      </c>
      <c r="H31" s="327"/>
      <c r="I31" s="325" t="s">
        <v>10</v>
      </c>
      <c r="J31" s="147">
        <v>63.37</v>
      </c>
      <c r="K31" s="147">
        <v>66.77</v>
      </c>
      <c r="L31" s="147">
        <v>59.66</v>
      </c>
      <c r="M31" s="147">
        <v>66.36</v>
      </c>
      <c r="N31" s="147">
        <v>62.13</v>
      </c>
      <c r="O31" s="328">
        <v>67.78</v>
      </c>
      <c r="Q31" s="128" t="str">
        <f t="shared" si="2"/>
        <v>D/%</v>
      </c>
      <c r="R31" s="127">
        <f t="shared" si="3"/>
        <v>-11.239999999999995</v>
      </c>
      <c r="S31" s="127">
        <f t="shared" si="3"/>
        <v>-6.659999999999997</v>
      </c>
      <c r="T31" s="127">
        <f t="shared" si="3"/>
        <v>-3.9299999999999997</v>
      </c>
      <c r="U31" s="127">
        <f t="shared" si="3"/>
        <v>-6.25</v>
      </c>
      <c r="V31" s="127">
        <f t="shared" si="3"/>
        <v>-6.630000000000003</v>
      </c>
      <c r="W31" s="127">
        <f t="shared" si="3"/>
        <v>-5.700000000000003</v>
      </c>
    </row>
    <row r="32" spans="1:23" ht="12.75">
      <c r="A32" s="325" t="s">
        <v>52</v>
      </c>
      <c r="B32" s="147">
        <v>3.25</v>
      </c>
      <c r="C32" s="147">
        <v>4.59</v>
      </c>
      <c r="D32" s="147">
        <v>3.91</v>
      </c>
      <c r="E32" s="147">
        <v>4.62</v>
      </c>
      <c r="F32" s="147">
        <v>3.81</v>
      </c>
      <c r="G32" s="328">
        <v>4.92</v>
      </c>
      <c r="H32" s="327"/>
      <c r="I32" s="325" t="s">
        <v>11</v>
      </c>
      <c r="J32" s="147">
        <v>5.49</v>
      </c>
      <c r="K32" s="147">
        <v>6.13</v>
      </c>
      <c r="L32" s="147">
        <v>4.85</v>
      </c>
      <c r="M32" s="147">
        <v>6.1</v>
      </c>
      <c r="N32" s="147">
        <v>5.27</v>
      </c>
      <c r="O32" s="328">
        <v>6.33</v>
      </c>
      <c r="Q32" s="128" t="str">
        <f t="shared" si="2"/>
        <v>C80/dB</v>
      </c>
      <c r="R32" s="127">
        <f t="shared" si="3"/>
        <v>-2.24</v>
      </c>
      <c r="S32" s="127">
        <f t="shared" si="3"/>
        <v>-1.54</v>
      </c>
      <c r="T32" s="127">
        <f t="shared" si="3"/>
        <v>-0.9399999999999995</v>
      </c>
      <c r="U32" s="127">
        <f t="shared" si="3"/>
        <v>-1.4799999999999995</v>
      </c>
      <c r="V32" s="127">
        <f t="shared" si="3"/>
        <v>-1.4599999999999995</v>
      </c>
      <c r="W32" s="127">
        <f t="shared" si="3"/>
        <v>-1.4100000000000001</v>
      </c>
    </row>
    <row r="33" spans="1:23" ht="12.75">
      <c r="A33" s="325" t="s">
        <v>53</v>
      </c>
      <c r="B33" s="147">
        <v>69.6</v>
      </c>
      <c r="C33" s="147">
        <v>57.5</v>
      </c>
      <c r="D33" s="147">
        <v>64.3</v>
      </c>
      <c r="E33" s="147">
        <v>57.7</v>
      </c>
      <c r="F33" s="147">
        <v>65</v>
      </c>
      <c r="G33" s="328">
        <v>55.9</v>
      </c>
      <c r="H33" s="327"/>
      <c r="I33" s="325" t="s">
        <v>12</v>
      </c>
      <c r="J33" s="147">
        <v>51.6</v>
      </c>
      <c r="K33" s="147">
        <v>46.3</v>
      </c>
      <c r="L33" s="147">
        <v>56.7</v>
      </c>
      <c r="M33" s="147">
        <v>46.7</v>
      </c>
      <c r="N33" s="147">
        <v>53.6</v>
      </c>
      <c r="O33" s="328">
        <v>45.8</v>
      </c>
      <c r="Q33" s="128" t="str">
        <f t="shared" si="2"/>
        <v>Ts/ms</v>
      </c>
      <c r="R33" s="127">
        <f t="shared" si="3"/>
        <v>17.999999999999993</v>
      </c>
      <c r="S33" s="127">
        <f t="shared" si="3"/>
        <v>11.200000000000003</v>
      </c>
      <c r="T33" s="127">
        <f t="shared" si="3"/>
        <v>7.599999999999994</v>
      </c>
      <c r="U33" s="127">
        <f t="shared" si="3"/>
        <v>11</v>
      </c>
      <c r="V33" s="127">
        <f t="shared" si="3"/>
        <v>11.399999999999999</v>
      </c>
      <c r="W33" s="127">
        <f t="shared" si="3"/>
        <v>10.100000000000001</v>
      </c>
    </row>
    <row r="34" spans="1:23" ht="12.75">
      <c r="A34" s="325" t="s">
        <v>13</v>
      </c>
      <c r="B34" s="147">
        <v>17.8</v>
      </c>
      <c r="C34" s="147">
        <v>19.1</v>
      </c>
      <c r="D34" s="147">
        <v>18.3</v>
      </c>
      <c r="E34" s="147">
        <v>19</v>
      </c>
      <c r="F34" s="147">
        <v>18.3</v>
      </c>
      <c r="G34" s="328">
        <v>19.3</v>
      </c>
      <c r="H34" s="327"/>
      <c r="I34" s="325" t="s">
        <v>13</v>
      </c>
      <c r="J34" s="147">
        <v>17.6</v>
      </c>
      <c r="K34" s="147">
        <v>18.5</v>
      </c>
      <c r="L34" s="147">
        <v>17.2</v>
      </c>
      <c r="M34" s="147">
        <v>18.5</v>
      </c>
      <c r="N34" s="147">
        <v>17.7</v>
      </c>
      <c r="O34" s="328">
        <v>18.8</v>
      </c>
      <c r="Q34" s="128" t="str">
        <f t="shared" si="2"/>
        <v>G/dB</v>
      </c>
      <c r="R34" s="127">
        <f t="shared" si="3"/>
        <v>0.1999999999999993</v>
      </c>
      <c r="S34" s="127">
        <f t="shared" si="3"/>
        <v>0.6000000000000014</v>
      </c>
      <c r="T34" s="127">
        <f t="shared" si="3"/>
        <v>1.1000000000000014</v>
      </c>
      <c r="U34" s="127">
        <f t="shared" si="3"/>
        <v>0.5</v>
      </c>
      <c r="V34" s="127">
        <f t="shared" si="3"/>
        <v>0.6000000000000014</v>
      </c>
      <c r="W34" s="127">
        <f t="shared" si="3"/>
        <v>0.5</v>
      </c>
    </row>
    <row r="35" spans="1:23" ht="12.75">
      <c r="A35" s="325" t="s">
        <v>14</v>
      </c>
      <c r="B35" s="147">
        <v>32.64</v>
      </c>
      <c r="C35" s="147">
        <v>28.98</v>
      </c>
      <c r="D35" s="147">
        <v>37.92</v>
      </c>
      <c r="E35" s="147">
        <v>29.09</v>
      </c>
      <c r="F35" s="147">
        <v>37.48</v>
      </c>
      <c r="G35" s="328">
        <v>35.16</v>
      </c>
      <c r="H35" s="327"/>
      <c r="I35" s="325" t="s">
        <v>14</v>
      </c>
      <c r="J35" s="147">
        <v>35.3</v>
      </c>
      <c r="K35" s="147">
        <v>28.84</v>
      </c>
      <c r="L35" s="147">
        <v>33.53</v>
      </c>
      <c r="M35" s="147">
        <v>28.87</v>
      </c>
      <c r="N35" s="147">
        <v>36.02</v>
      </c>
      <c r="O35" s="328">
        <v>34.44</v>
      </c>
      <c r="Q35" s="128" t="str">
        <f t="shared" si="2"/>
        <v>LF/%</v>
      </c>
      <c r="R35" s="127">
        <f t="shared" si="3"/>
        <v>-2.6599999999999966</v>
      </c>
      <c r="S35" s="127">
        <f t="shared" si="3"/>
        <v>0.14000000000000057</v>
      </c>
      <c r="T35" s="127">
        <f t="shared" si="3"/>
        <v>4.390000000000001</v>
      </c>
      <c r="U35" s="127">
        <f t="shared" si="3"/>
        <v>0.21999999999999886</v>
      </c>
      <c r="V35" s="127">
        <f t="shared" si="3"/>
        <v>1.4599999999999937</v>
      </c>
      <c r="W35" s="127">
        <f t="shared" si="3"/>
        <v>0.7199999999999989</v>
      </c>
    </row>
    <row r="36" spans="1:23" ht="12.75">
      <c r="A36" s="325" t="s">
        <v>15</v>
      </c>
      <c r="B36" s="147">
        <v>45.26</v>
      </c>
      <c r="C36" s="147">
        <v>37.57</v>
      </c>
      <c r="D36" s="147">
        <v>46.92</v>
      </c>
      <c r="E36" s="147">
        <v>37.6</v>
      </c>
      <c r="F36" s="147">
        <v>47.7</v>
      </c>
      <c r="G36" s="328">
        <v>44.26</v>
      </c>
      <c r="H36" s="327"/>
      <c r="I36" s="325" t="s">
        <v>15</v>
      </c>
      <c r="J36" s="147">
        <v>44.31</v>
      </c>
      <c r="K36" s="147">
        <v>37.22</v>
      </c>
      <c r="L36" s="147">
        <v>45.76</v>
      </c>
      <c r="M36" s="147">
        <v>37.17</v>
      </c>
      <c r="N36" s="147">
        <v>46.19</v>
      </c>
      <c r="O36" s="328">
        <v>43.46</v>
      </c>
      <c r="Q36" s="128" t="str">
        <f t="shared" si="2"/>
        <v>LFC/%</v>
      </c>
      <c r="R36" s="127">
        <f t="shared" si="3"/>
        <v>0.9499999999999957</v>
      </c>
      <c r="S36" s="127">
        <f t="shared" si="3"/>
        <v>0.3500000000000014</v>
      </c>
      <c r="T36" s="127">
        <f t="shared" si="3"/>
        <v>1.1600000000000037</v>
      </c>
      <c r="U36" s="127">
        <f t="shared" si="3"/>
        <v>0.4299999999999997</v>
      </c>
      <c r="V36" s="127">
        <f t="shared" si="3"/>
        <v>1.5100000000000051</v>
      </c>
      <c r="W36" s="127">
        <f t="shared" si="3"/>
        <v>0.7999999999999972</v>
      </c>
    </row>
    <row r="37" spans="1:23" ht="12.75">
      <c r="A37" s="329" t="s">
        <v>16</v>
      </c>
      <c r="B37" s="330"/>
      <c r="C37" s="331"/>
      <c r="D37" s="331"/>
      <c r="E37" s="331"/>
      <c r="F37" s="331"/>
      <c r="G37" s="332"/>
      <c r="H37" s="327"/>
      <c r="I37" s="329" t="s">
        <v>16</v>
      </c>
      <c r="J37" s="330"/>
      <c r="K37" s="331"/>
      <c r="L37" s="331"/>
      <c r="M37" s="331"/>
      <c r="N37" s="331"/>
      <c r="O37" s="332"/>
      <c r="Q37" s="128" t="str">
        <f t="shared" si="2"/>
        <v>IACC</v>
      </c>
      <c r="R37" s="127">
        <f t="shared" si="3"/>
        <v>0</v>
      </c>
      <c r="S37" s="127">
        <f t="shared" si="3"/>
        <v>0</v>
      </c>
      <c r="T37" s="127">
        <f t="shared" si="3"/>
        <v>0</v>
      </c>
      <c r="U37" s="127">
        <f t="shared" si="3"/>
        <v>0</v>
      </c>
      <c r="V37" s="127">
        <f t="shared" si="3"/>
        <v>0</v>
      </c>
      <c r="W37" s="127">
        <f t="shared" si="3"/>
        <v>0</v>
      </c>
    </row>
    <row r="38" spans="5:15" ht="12.75">
      <c r="E38" s="320"/>
      <c r="F38" s="320"/>
      <c r="G38" s="320"/>
      <c r="H38" s="320"/>
      <c r="M38" s="320"/>
      <c r="N38" s="320"/>
      <c r="O38" s="320"/>
    </row>
    <row r="39" spans="1:18" ht="12.75">
      <c r="A39" s="318" t="s">
        <v>18</v>
      </c>
      <c r="B39" s="319" t="s">
        <v>1</v>
      </c>
      <c r="E39" s="320"/>
      <c r="F39" s="320"/>
      <c r="G39" s="320"/>
      <c r="H39" s="320"/>
      <c r="I39" s="318" t="s">
        <v>18</v>
      </c>
      <c r="J39" s="319" t="s">
        <v>1</v>
      </c>
      <c r="M39" s="320"/>
      <c r="N39" s="320"/>
      <c r="O39" s="320"/>
      <c r="Q39" s="128" t="str">
        <f>+A39</f>
        <v>500 Hz</v>
      </c>
      <c r="R39" s="128" t="str">
        <f>+B39</f>
        <v>octave</v>
      </c>
    </row>
    <row r="40" spans="1:23" ht="12.75">
      <c r="A40" s="321"/>
      <c r="B40" s="322" t="s">
        <v>2</v>
      </c>
      <c r="C40" s="322" t="s">
        <v>3</v>
      </c>
      <c r="D40" s="323" t="s">
        <v>4</v>
      </c>
      <c r="E40" s="323" t="s">
        <v>5</v>
      </c>
      <c r="F40" s="322" t="s">
        <v>6</v>
      </c>
      <c r="G40" s="323" t="s">
        <v>7</v>
      </c>
      <c r="H40" s="324"/>
      <c r="I40" s="321"/>
      <c r="J40" s="322" t="s">
        <v>2</v>
      </c>
      <c r="K40" s="322" t="s">
        <v>3</v>
      </c>
      <c r="L40" s="323" t="s">
        <v>4</v>
      </c>
      <c r="M40" s="323" t="s">
        <v>5</v>
      </c>
      <c r="N40" s="322" t="s">
        <v>6</v>
      </c>
      <c r="O40" s="323" t="s">
        <v>7</v>
      </c>
      <c r="Q40" s="128">
        <f>+A40</f>
        <v>0</v>
      </c>
      <c r="R40" s="128" t="str">
        <f>+B40</f>
        <v>S1R1</v>
      </c>
      <c r="S40" s="128" t="str">
        <f>+C40</f>
        <v>S1R2</v>
      </c>
      <c r="T40" s="128" t="str">
        <f>+D40</f>
        <v>S1R3</v>
      </c>
      <c r="U40" s="128" t="str">
        <f>+E40</f>
        <v>S2R1</v>
      </c>
      <c r="V40" s="128" t="str">
        <f>+F40</f>
        <v>S2R2</v>
      </c>
      <c r="W40" s="128" t="str">
        <f>+G40</f>
        <v>S2R3</v>
      </c>
    </row>
    <row r="41" spans="1:23" ht="12.75">
      <c r="A41" s="325" t="s">
        <v>8</v>
      </c>
      <c r="B41" s="147">
        <v>0.99</v>
      </c>
      <c r="C41" s="147">
        <v>0.99</v>
      </c>
      <c r="D41" s="147">
        <v>0.99</v>
      </c>
      <c r="E41" s="147">
        <v>1</v>
      </c>
      <c r="F41" s="147">
        <v>1</v>
      </c>
      <c r="G41" s="326">
        <v>1</v>
      </c>
      <c r="H41" s="327"/>
      <c r="I41" s="325" t="s">
        <v>8</v>
      </c>
      <c r="J41" s="147">
        <v>0.8</v>
      </c>
      <c r="K41" s="147">
        <v>0.8</v>
      </c>
      <c r="L41" s="147">
        <v>0.8</v>
      </c>
      <c r="M41" s="147">
        <v>0.79</v>
      </c>
      <c r="N41" s="147">
        <v>0.79</v>
      </c>
      <c r="O41" s="326">
        <v>0.79</v>
      </c>
      <c r="Q41" s="128" t="str">
        <f aca="true" t="shared" si="4" ref="Q41:Q49">+A41</f>
        <v>T30/s</v>
      </c>
      <c r="R41" s="127">
        <f aca="true" t="shared" si="5" ref="R41:W49">+B41-J41</f>
        <v>0.18999999999999995</v>
      </c>
      <c r="S41" s="127">
        <f t="shared" si="5"/>
        <v>0.18999999999999995</v>
      </c>
      <c r="T41" s="127">
        <f t="shared" si="5"/>
        <v>0.18999999999999995</v>
      </c>
      <c r="U41" s="127">
        <f t="shared" si="5"/>
        <v>0.20999999999999996</v>
      </c>
      <c r="V41" s="127">
        <f t="shared" si="5"/>
        <v>0.20999999999999996</v>
      </c>
      <c r="W41" s="127">
        <f t="shared" si="5"/>
        <v>0.20999999999999996</v>
      </c>
    </row>
    <row r="42" spans="1:23" ht="12.75">
      <c r="A42" s="325" t="s">
        <v>9</v>
      </c>
      <c r="B42" s="147">
        <v>1.01</v>
      </c>
      <c r="C42" s="147">
        <v>0.98</v>
      </c>
      <c r="D42" s="147">
        <v>1</v>
      </c>
      <c r="E42" s="147">
        <v>0.98</v>
      </c>
      <c r="F42" s="147">
        <v>0.97</v>
      </c>
      <c r="G42" s="328">
        <v>0.95</v>
      </c>
      <c r="H42" s="327"/>
      <c r="I42" s="325" t="s">
        <v>9</v>
      </c>
      <c r="J42" s="147">
        <v>0.81</v>
      </c>
      <c r="K42" s="147">
        <v>0.79</v>
      </c>
      <c r="L42" s="147">
        <v>0.81</v>
      </c>
      <c r="M42" s="147">
        <v>0.8</v>
      </c>
      <c r="N42" s="147">
        <v>0.8</v>
      </c>
      <c r="O42" s="328">
        <v>0.77</v>
      </c>
      <c r="Q42" s="128" t="str">
        <f t="shared" si="4"/>
        <v>EDT/s</v>
      </c>
      <c r="R42" s="127">
        <f t="shared" si="5"/>
        <v>0.19999999999999996</v>
      </c>
      <c r="S42" s="127">
        <f t="shared" si="5"/>
        <v>0.18999999999999995</v>
      </c>
      <c r="T42" s="127">
        <f t="shared" si="5"/>
        <v>0.18999999999999995</v>
      </c>
      <c r="U42" s="127">
        <f t="shared" si="5"/>
        <v>0.17999999999999994</v>
      </c>
      <c r="V42" s="127">
        <f t="shared" si="5"/>
        <v>0.16999999999999993</v>
      </c>
      <c r="W42" s="127">
        <f t="shared" si="5"/>
        <v>0.17999999999999994</v>
      </c>
    </row>
    <row r="43" spans="1:23" ht="12.75">
      <c r="A43" s="325" t="s">
        <v>10</v>
      </c>
      <c r="B43" s="147">
        <v>51.84</v>
      </c>
      <c r="C43" s="147">
        <v>58.77</v>
      </c>
      <c r="D43" s="147">
        <v>54.65</v>
      </c>
      <c r="E43" s="147">
        <v>58.83</v>
      </c>
      <c r="F43" s="147">
        <v>54.54</v>
      </c>
      <c r="G43" s="328">
        <v>61.7</v>
      </c>
      <c r="H43" s="327"/>
      <c r="I43" s="325" t="s">
        <v>10</v>
      </c>
      <c r="J43" s="147">
        <v>62.72</v>
      </c>
      <c r="K43" s="147">
        <v>65.89</v>
      </c>
      <c r="L43" s="147">
        <v>60.05</v>
      </c>
      <c r="M43" s="147">
        <v>65.32</v>
      </c>
      <c r="N43" s="147">
        <v>61.53</v>
      </c>
      <c r="O43" s="328">
        <v>67.78</v>
      </c>
      <c r="Q43" s="128" t="str">
        <f t="shared" si="4"/>
        <v>D/%</v>
      </c>
      <c r="R43" s="127">
        <f t="shared" si="5"/>
        <v>-10.879999999999995</v>
      </c>
      <c r="S43" s="127">
        <f t="shared" si="5"/>
        <v>-7.119999999999997</v>
      </c>
      <c r="T43" s="127">
        <f t="shared" si="5"/>
        <v>-5.399999999999999</v>
      </c>
      <c r="U43" s="127">
        <f t="shared" si="5"/>
        <v>-6.489999999999995</v>
      </c>
      <c r="V43" s="127">
        <f t="shared" si="5"/>
        <v>-6.990000000000002</v>
      </c>
      <c r="W43" s="127">
        <f t="shared" si="5"/>
        <v>-6.079999999999998</v>
      </c>
    </row>
    <row r="44" spans="1:23" ht="12.75">
      <c r="A44" s="325" t="s">
        <v>52</v>
      </c>
      <c r="B44" s="147">
        <v>3.15</v>
      </c>
      <c r="C44" s="147">
        <v>4.35</v>
      </c>
      <c r="D44" s="147">
        <v>3.67</v>
      </c>
      <c r="E44" s="147">
        <v>4.39</v>
      </c>
      <c r="F44" s="147">
        <v>3.58</v>
      </c>
      <c r="G44" s="328">
        <v>4.75</v>
      </c>
      <c r="H44" s="327"/>
      <c r="I44" s="325" t="s">
        <v>11</v>
      </c>
      <c r="J44" s="147">
        <v>5.34</v>
      </c>
      <c r="K44" s="147">
        <v>5.97</v>
      </c>
      <c r="L44" s="147">
        <v>4.88</v>
      </c>
      <c r="M44" s="147">
        <v>5.9</v>
      </c>
      <c r="N44" s="147">
        <v>5.12</v>
      </c>
      <c r="O44" s="328">
        <v>6.26</v>
      </c>
      <c r="Q44" s="128" t="str">
        <f t="shared" si="4"/>
        <v>C80/dB</v>
      </c>
      <c r="R44" s="127">
        <f t="shared" si="5"/>
        <v>-2.19</v>
      </c>
      <c r="S44" s="127">
        <f t="shared" si="5"/>
        <v>-1.62</v>
      </c>
      <c r="T44" s="127">
        <f t="shared" si="5"/>
        <v>-1.21</v>
      </c>
      <c r="U44" s="127">
        <f t="shared" si="5"/>
        <v>-1.5100000000000007</v>
      </c>
      <c r="V44" s="127">
        <f t="shared" si="5"/>
        <v>-1.54</v>
      </c>
      <c r="W44" s="127">
        <f t="shared" si="5"/>
        <v>-1.5099999999999998</v>
      </c>
    </row>
    <row r="45" spans="1:23" ht="12.75">
      <c r="A45" s="325" t="s">
        <v>53</v>
      </c>
      <c r="B45" s="147">
        <v>70.4</v>
      </c>
      <c r="C45" s="147">
        <v>59.9</v>
      </c>
      <c r="D45" s="147">
        <v>66.7</v>
      </c>
      <c r="E45" s="147">
        <v>59.7</v>
      </c>
      <c r="F45" s="147">
        <v>66.9</v>
      </c>
      <c r="G45" s="328">
        <v>57.2</v>
      </c>
      <c r="H45" s="327"/>
      <c r="I45" s="325" t="s">
        <v>12</v>
      </c>
      <c r="J45" s="147">
        <v>52.9</v>
      </c>
      <c r="K45" s="147">
        <v>47.6</v>
      </c>
      <c r="L45" s="147">
        <v>56.4</v>
      </c>
      <c r="M45" s="147">
        <v>48.1</v>
      </c>
      <c r="N45" s="147">
        <v>54.4</v>
      </c>
      <c r="O45" s="328">
        <v>46.3</v>
      </c>
      <c r="Q45" s="128" t="str">
        <f t="shared" si="4"/>
        <v>Ts/ms</v>
      </c>
      <c r="R45" s="127">
        <f t="shared" si="5"/>
        <v>17.500000000000007</v>
      </c>
      <c r="S45" s="127">
        <f t="shared" si="5"/>
        <v>12.299999999999997</v>
      </c>
      <c r="T45" s="127">
        <f t="shared" si="5"/>
        <v>10.300000000000004</v>
      </c>
      <c r="U45" s="127">
        <f t="shared" si="5"/>
        <v>11.600000000000001</v>
      </c>
      <c r="V45" s="127">
        <f t="shared" si="5"/>
        <v>12.500000000000007</v>
      </c>
      <c r="W45" s="127">
        <f t="shared" si="5"/>
        <v>10.900000000000006</v>
      </c>
    </row>
    <row r="46" spans="1:23" ht="12.75">
      <c r="A46" s="325" t="s">
        <v>13</v>
      </c>
      <c r="B46" s="147">
        <v>18.2</v>
      </c>
      <c r="C46" s="147">
        <v>19.4</v>
      </c>
      <c r="D46" s="147">
        <v>18.5</v>
      </c>
      <c r="E46" s="147">
        <v>19.1</v>
      </c>
      <c r="F46" s="147">
        <v>18.6</v>
      </c>
      <c r="G46" s="328">
        <v>19.5</v>
      </c>
      <c r="H46" s="327"/>
      <c r="I46" s="325" t="s">
        <v>13</v>
      </c>
      <c r="J46" s="147">
        <v>17.7</v>
      </c>
      <c r="K46" s="147">
        <v>18.8</v>
      </c>
      <c r="L46" s="147">
        <v>17.5</v>
      </c>
      <c r="M46" s="147">
        <v>18.5</v>
      </c>
      <c r="N46" s="147">
        <v>18</v>
      </c>
      <c r="O46" s="328">
        <v>19</v>
      </c>
      <c r="Q46" s="128" t="str">
        <f t="shared" si="4"/>
        <v>G/dB</v>
      </c>
      <c r="R46" s="127">
        <f t="shared" si="5"/>
        <v>0.5</v>
      </c>
      <c r="S46" s="127">
        <f t="shared" si="5"/>
        <v>0.5999999999999979</v>
      </c>
      <c r="T46" s="127">
        <f t="shared" si="5"/>
        <v>1</v>
      </c>
      <c r="U46" s="127">
        <f t="shared" si="5"/>
        <v>0.6000000000000014</v>
      </c>
      <c r="V46" s="127">
        <f t="shared" si="5"/>
        <v>0.6000000000000014</v>
      </c>
      <c r="W46" s="127">
        <f t="shared" si="5"/>
        <v>0.5</v>
      </c>
    </row>
    <row r="47" spans="1:23" ht="12.75">
      <c r="A47" s="325" t="s">
        <v>14</v>
      </c>
      <c r="B47" s="147">
        <v>33.24</v>
      </c>
      <c r="C47" s="147">
        <v>30.55</v>
      </c>
      <c r="D47" s="147">
        <v>38.22</v>
      </c>
      <c r="E47" s="147">
        <v>30.15</v>
      </c>
      <c r="F47" s="147">
        <v>37.19</v>
      </c>
      <c r="G47" s="328">
        <v>36.26</v>
      </c>
      <c r="H47" s="327"/>
      <c r="I47" s="325" t="s">
        <v>14</v>
      </c>
      <c r="J47" s="147">
        <v>35.09</v>
      </c>
      <c r="K47" s="147">
        <v>30.56</v>
      </c>
      <c r="L47" s="147">
        <v>34</v>
      </c>
      <c r="M47" s="147">
        <v>28.8</v>
      </c>
      <c r="N47" s="147">
        <v>35.61</v>
      </c>
      <c r="O47" s="328">
        <v>35.56</v>
      </c>
      <c r="Q47" s="128" t="str">
        <f t="shared" si="4"/>
        <v>LF/%</v>
      </c>
      <c r="R47" s="127">
        <f t="shared" si="5"/>
        <v>-1.8500000000000014</v>
      </c>
      <c r="S47" s="127">
        <f t="shared" si="5"/>
        <v>-0.00999999999999801</v>
      </c>
      <c r="T47" s="127">
        <f t="shared" si="5"/>
        <v>4.219999999999999</v>
      </c>
      <c r="U47" s="127">
        <f t="shared" si="5"/>
        <v>1.3499999999999979</v>
      </c>
      <c r="V47" s="127">
        <f t="shared" si="5"/>
        <v>1.5799999999999983</v>
      </c>
      <c r="W47" s="127">
        <f t="shared" si="5"/>
        <v>0.6999999999999957</v>
      </c>
    </row>
    <row r="48" spans="1:23" ht="12.75">
      <c r="A48" s="325" t="s">
        <v>15</v>
      </c>
      <c r="B48" s="147">
        <v>45.85</v>
      </c>
      <c r="C48" s="147">
        <v>39.5</v>
      </c>
      <c r="D48" s="147">
        <v>47.38</v>
      </c>
      <c r="E48" s="147">
        <v>38.61</v>
      </c>
      <c r="F48" s="147">
        <v>47.55</v>
      </c>
      <c r="G48" s="328">
        <v>45.6</v>
      </c>
      <c r="H48" s="327"/>
      <c r="I48" s="325" t="s">
        <v>15</v>
      </c>
      <c r="J48" s="147">
        <v>44.33</v>
      </c>
      <c r="K48" s="147">
        <v>39.3</v>
      </c>
      <c r="L48" s="147">
        <v>46.29</v>
      </c>
      <c r="M48" s="147">
        <v>37.13</v>
      </c>
      <c r="N48" s="147">
        <v>45.9</v>
      </c>
      <c r="O48" s="328">
        <v>44.77</v>
      </c>
      <c r="Q48" s="128" t="str">
        <f t="shared" si="4"/>
        <v>LFC/%</v>
      </c>
      <c r="R48" s="127">
        <f t="shared" si="5"/>
        <v>1.5200000000000031</v>
      </c>
      <c r="S48" s="127">
        <f t="shared" si="5"/>
        <v>0.20000000000000284</v>
      </c>
      <c r="T48" s="127">
        <f t="shared" si="5"/>
        <v>1.0900000000000034</v>
      </c>
      <c r="U48" s="127">
        <f t="shared" si="5"/>
        <v>1.4799999999999969</v>
      </c>
      <c r="V48" s="127">
        <f t="shared" si="5"/>
        <v>1.6499999999999986</v>
      </c>
      <c r="W48" s="127">
        <f t="shared" si="5"/>
        <v>0.8299999999999983</v>
      </c>
    </row>
    <row r="49" spans="1:23" ht="12.75">
      <c r="A49" s="329" t="s">
        <v>16</v>
      </c>
      <c r="B49" s="330"/>
      <c r="C49" s="331"/>
      <c r="D49" s="331"/>
      <c r="E49" s="331"/>
      <c r="F49" s="331"/>
      <c r="G49" s="332"/>
      <c r="H49" s="327"/>
      <c r="I49" s="329" t="s">
        <v>16</v>
      </c>
      <c r="J49" s="330"/>
      <c r="K49" s="331"/>
      <c r="L49" s="331"/>
      <c r="M49" s="331"/>
      <c r="N49" s="331"/>
      <c r="O49" s="332"/>
      <c r="Q49" s="128" t="str">
        <f t="shared" si="4"/>
        <v>IACC</v>
      </c>
      <c r="R49" s="127">
        <f t="shared" si="5"/>
        <v>0</v>
      </c>
      <c r="S49" s="127">
        <f t="shared" si="5"/>
        <v>0</v>
      </c>
      <c r="T49" s="127">
        <f t="shared" si="5"/>
        <v>0</v>
      </c>
      <c r="U49" s="127">
        <f t="shared" si="5"/>
        <v>0</v>
      </c>
      <c r="V49" s="127">
        <f t="shared" si="5"/>
        <v>0</v>
      </c>
      <c r="W49" s="127">
        <f t="shared" si="5"/>
        <v>0</v>
      </c>
    </row>
    <row r="50" spans="5:23" ht="12.75">
      <c r="E50" s="320"/>
      <c r="F50" s="320"/>
      <c r="G50" s="320"/>
      <c r="H50" s="320"/>
      <c r="M50" s="320"/>
      <c r="N50" s="320"/>
      <c r="O50" s="320"/>
      <c r="R50" s="127"/>
      <c r="S50" s="127"/>
      <c r="T50" s="127"/>
      <c r="U50" s="127"/>
      <c r="V50" s="127"/>
      <c r="W50" s="127"/>
    </row>
    <row r="51" spans="1:18" ht="12.75">
      <c r="A51" s="318" t="s">
        <v>19</v>
      </c>
      <c r="B51" s="319" t="s">
        <v>1</v>
      </c>
      <c r="E51" s="320"/>
      <c r="F51" s="320"/>
      <c r="G51" s="320"/>
      <c r="H51" s="320"/>
      <c r="I51" s="318" t="s">
        <v>19</v>
      </c>
      <c r="J51" s="319" t="s">
        <v>1</v>
      </c>
      <c r="M51" s="320"/>
      <c r="N51" s="320"/>
      <c r="O51" s="320"/>
      <c r="Q51" s="128" t="str">
        <f>+A51</f>
        <v>1000 Hz</v>
      </c>
      <c r="R51" s="128" t="str">
        <f>+B51</f>
        <v>octave</v>
      </c>
    </row>
    <row r="52" spans="1:23" ht="12.75">
      <c r="A52" s="321"/>
      <c r="B52" s="322" t="s">
        <v>2</v>
      </c>
      <c r="C52" s="322" t="s">
        <v>3</v>
      </c>
      <c r="D52" s="323" t="s">
        <v>4</v>
      </c>
      <c r="E52" s="323" t="s">
        <v>5</v>
      </c>
      <c r="F52" s="322" t="s">
        <v>6</v>
      </c>
      <c r="G52" s="323" t="s">
        <v>7</v>
      </c>
      <c r="H52" s="324"/>
      <c r="I52" s="321"/>
      <c r="J52" s="322" t="s">
        <v>2</v>
      </c>
      <c r="K52" s="322" t="s">
        <v>3</v>
      </c>
      <c r="L52" s="323" t="s">
        <v>4</v>
      </c>
      <c r="M52" s="323" t="s">
        <v>5</v>
      </c>
      <c r="N52" s="322" t="s">
        <v>6</v>
      </c>
      <c r="O52" s="323" t="s">
        <v>7</v>
      </c>
      <c r="Q52" s="128">
        <f>+A52</f>
        <v>0</v>
      </c>
      <c r="R52" s="128" t="str">
        <f>+B52</f>
        <v>S1R1</v>
      </c>
      <c r="S52" s="128" t="str">
        <f>+C52</f>
        <v>S1R2</v>
      </c>
      <c r="T52" s="128" t="str">
        <f>+D52</f>
        <v>S1R3</v>
      </c>
      <c r="U52" s="128" t="str">
        <f>+E52</f>
        <v>S2R1</v>
      </c>
      <c r="V52" s="128" t="str">
        <f>+F52</f>
        <v>S2R2</v>
      </c>
      <c r="W52" s="128" t="str">
        <f>+G52</f>
        <v>S2R3</v>
      </c>
    </row>
    <row r="53" spans="1:23" ht="12.75">
      <c r="A53" s="325" t="s">
        <v>8</v>
      </c>
      <c r="B53" s="147">
        <v>0.89</v>
      </c>
      <c r="C53" s="147">
        <v>0.89</v>
      </c>
      <c r="D53" s="147">
        <v>0.9</v>
      </c>
      <c r="E53" s="147">
        <v>0.89</v>
      </c>
      <c r="F53" s="147">
        <v>0.89</v>
      </c>
      <c r="G53" s="326">
        <v>0.89</v>
      </c>
      <c r="H53" s="327"/>
      <c r="I53" s="325" t="s">
        <v>8</v>
      </c>
      <c r="J53" s="147">
        <v>0.71</v>
      </c>
      <c r="K53" s="147">
        <v>0.71</v>
      </c>
      <c r="L53" s="147">
        <v>0.71</v>
      </c>
      <c r="M53" s="147">
        <v>0.71</v>
      </c>
      <c r="N53" s="147">
        <v>0.71</v>
      </c>
      <c r="O53" s="326">
        <v>0.71</v>
      </c>
      <c r="Q53" s="128" t="str">
        <f aca="true" t="shared" si="6" ref="Q53:Q61">+A53</f>
        <v>T30/s</v>
      </c>
      <c r="R53" s="127">
        <f aca="true" t="shared" si="7" ref="R53:W61">+B53-J53</f>
        <v>0.18000000000000005</v>
      </c>
      <c r="S53" s="127">
        <f t="shared" si="7"/>
        <v>0.18000000000000005</v>
      </c>
      <c r="T53" s="127">
        <f t="shared" si="7"/>
        <v>0.19000000000000006</v>
      </c>
      <c r="U53" s="127">
        <f t="shared" si="7"/>
        <v>0.18000000000000005</v>
      </c>
      <c r="V53" s="127">
        <f t="shared" si="7"/>
        <v>0.18000000000000005</v>
      </c>
      <c r="W53" s="127">
        <f t="shared" si="7"/>
        <v>0.18000000000000005</v>
      </c>
    </row>
    <row r="54" spans="1:23" ht="12.75">
      <c r="A54" s="325" t="s">
        <v>9</v>
      </c>
      <c r="B54" s="147">
        <v>0.91</v>
      </c>
      <c r="C54" s="147">
        <v>0.87</v>
      </c>
      <c r="D54" s="147">
        <v>0.9</v>
      </c>
      <c r="E54" s="147">
        <v>0.88</v>
      </c>
      <c r="F54" s="147">
        <v>0.88</v>
      </c>
      <c r="G54" s="328">
        <v>0.85</v>
      </c>
      <c r="H54" s="327"/>
      <c r="I54" s="325" t="s">
        <v>9</v>
      </c>
      <c r="J54" s="147">
        <v>0.72</v>
      </c>
      <c r="K54" s="147">
        <v>0.7</v>
      </c>
      <c r="L54" s="147">
        <v>0.71</v>
      </c>
      <c r="M54" s="147">
        <v>0.71</v>
      </c>
      <c r="N54" s="147">
        <v>0.72</v>
      </c>
      <c r="O54" s="328">
        <v>0.67</v>
      </c>
      <c r="Q54" s="128" t="str">
        <f t="shared" si="6"/>
        <v>EDT/s</v>
      </c>
      <c r="R54" s="127">
        <f t="shared" si="7"/>
        <v>0.19000000000000006</v>
      </c>
      <c r="S54" s="127">
        <f t="shared" si="7"/>
        <v>0.17000000000000004</v>
      </c>
      <c r="T54" s="127">
        <f t="shared" si="7"/>
        <v>0.19000000000000006</v>
      </c>
      <c r="U54" s="127">
        <f t="shared" si="7"/>
        <v>0.17000000000000004</v>
      </c>
      <c r="V54" s="127">
        <f t="shared" si="7"/>
        <v>0.16000000000000003</v>
      </c>
      <c r="W54" s="127">
        <f t="shared" si="7"/>
        <v>0.17999999999999994</v>
      </c>
    </row>
    <row r="55" spans="1:23" ht="12.75">
      <c r="A55" s="325" t="s">
        <v>10</v>
      </c>
      <c r="B55" s="147">
        <v>57.15</v>
      </c>
      <c r="C55" s="147">
        <v>62.51</v>
      </c>
      <c r="D55" s="147">
        <v>58.55</v>
      </c>
      <c r="E55" s="147">
        <v>62.72</v>
      </c>
      <c r="F55" s="147">
        <v>58.38</v>
      </c>
      <c r="G55" s="328">
        <v>65.48</v>
      </c>
      <c r="H55" s="327"/>
      <c r="I55" s="325" t="s">
        <v>10</v>
      </c>
      <c r="J55" s="147">
        <v>67.07</v>
      </c>
      <c r="K55" s="147">
        <v>70.1</v>
      </c>
      <c r="L55" s="147">
        <v>66.15</v>
      </c>
      <c r="M55" s="147">
        <v>69.86</v>
      </c>
      <c r="N55" s="147">
        <v>65.79</v>
      </c>
      <c r="O55" s="328">
        <v>72.04</v>
      </c>
      <c r="Q55" s="128" t="str">
        <f t="shared" si="6"/>
        <v>D/%</v>
      </c>
      <c r="R55" s="127">
        <f t="shared" si="7"/>
        <v>-9.919999999999995</v>
      </c>
      <c r="S55" s="127">
        <f t="shared" si="7"/>
        <v>-7.589999999999996</v>
      </c>
      <c r="T55" s="127">
        <f t="shared" si="7"/>
        <v>-7.6000000000000085</v>
      </c>
      <c r="U55" s="127">
        <f t="shared" si="7"/>
        <v>-7.140000000000001</v>
      </c>
      <c r="V55" s="127">
        <f t="shared" si="7"/>
        <v>-7.410000000000004</v>
      </c>
      <c r="W55" s="127">
        <f t="shared" si="7"/>
        <v>-6.560000000000002</v>
      </c>
    </row>
    <row r="56" spans="1:23" ht="12.75">
      <c r="A56" s="325" t="s">
        <v>52</v>
      </c>
      <c r="B56" s="147">
        <v>4.14</v>
      </c>
      <c r="C56" s="147">
        <v>5.19</v>
      </c>
      <c r="D56" s="147">
        <v>4.45</v>
      </c>
      <c r="E56" s="147">
        <v>5.24</v>
      </c>
      <c r="F56" s="147">
        <v>4.35</v>
      </c>
      <c r="G56" s="328">
        <v>5.56</v>
      </c>
      <c r="H56" s="327"/>
      <c r="I56" s="325" t="s">
        <v>11</v>
      </c>
      <c r="J56" s="147">
        <v>6.33</v>
      </c>
      <c r="K56" s="147">
        <v>7.04</v>
      </c>
      <c r="L56" s="147">
        <v>6.12</v>
      </c>
      <c r="M56" s="147">
        <v>6.99</v>
      </c>
      <c r="N56" s="147">
        <v>6.08</v>
      </c>
      <c r="O56" s="328">
        <v>7.33</v>
      </c>
      <c r="Q56" s="128" t="str">
        <f t="shared" si="6"/>
        <v>C80/dB</v>
      </c>
      <c r="R56" s="127">
        <f t="shared" si="7"/>
        <v>-2.1900000000000004</v>
      </c>
      <c r="S56" s="127">
        <f t="shared" si="7"/>
        <v>-1.8499999999999996</v>
      </c>
      <c r="T56" s="127">
        <f t="shared" si="7"/>
        <v>-1.67</v>
      </c>
      <c r="U56" s="127">
        <f t="shared" si="7"/>
        <v>-1.75</v>
      </c>
      <c r="V56" s="127">
        <f t="shared" si="7"/>
        <v>-1.7300000000000004</v>
      </c>
      <c r="W56" s="127">
        <f t="shared" si="7"/>
        <v>-1.7700000000000005</v>
      </c>
    </row>
    <row r="57" spans="1:23" ht="12.75">
      <c r="A57" s="325" t="s">
        <v>53</v>
      </c>
      <c r="B57" s="147">
        <v>61.7</v>
      </c>
      <c r="C57" s="147">
        <v>53.4</v>
      </c>
      <c r="D57" s="147">
        <v>60.2</v>
      </c>
      <c r="E57" s="147">
        <v>53</v>
      </c>
      <c r="F57" s="147">
        <v>60.1</v>
      </c>
      <c r="G57" s="328">
        <v>50.9</v>
      </c>
      <c r="H57" s="327"/>
      <c r="I57" s="325" t="s">
        <v>12</v>
      </c>
      <c r="J57" s="147">
        <v>46.9</v>
      </c>
      <c r="K57" s="147">
        <v>41.8</v>
      </c>
      <c r="L57" s="147">
        <v>48.5</v>
      </c>
      <c r="M57" s="147">
        <v>42</v>
      </c>
      <c r="N57" s="147">
        <v>48.4</v>
      </c>
      <c r="O57" s="328">
        <v>40.7</v>
      </c>
      <c r="Q57" s="128" t="str">
        <f t="shared" si="6"/>
        <v>Ts/ms</v>
      </c>
      <c r="R57" s="127">
        <f t="shared" si="7"/>
        <v>14.800000000000004</v>
      </c>
      <c r="S57" s="127">
        <f t="shared" si="7"/>
        <v>11.600000000000001</v>
      </c>
      <c r="T57" s="127">
        <f t="shared" si="7"/>
        <v>11.700000000000003</v>
      </c>
      <c r="U57" s="127">
        <f t="shared" si="7"/>
        <v>11</v>
      </c>
      <c r="V57" s="127">
        <f t="shared" si="7"/>
        <v>11.700000000000003</v>
      </c>
      <c r="W57" s="127">
        <f t="shared" si="7"/>
        <v>10.199999999999996</v>
      </c>
    </row>
    <row r="58" spans="1:23" ht="12.75">
      <c r="A58" s="325" t="s">
        <v>13</v>
      </c>
      <c r="B58" s="147">
        <v>18</v>
      </c>
      <c r="C58" s="147">
        <v>19.3</v>
      </c>
      <c r="D58" s="147">
        <v>18.1</v>
      </c>
      <c r="E58" s="147">
        <v>18.9</v>
      </c>
      <c r="F58" s="147">
        <v>18.3</v>
      </c>
      <c r="G58" s="328">
        <v>19.2</v>
      </c>
      <c r="H58" s="327"/>
      <c r="I58" s="325" t="s">
        <v>13</v>
      </c>
      <c r="J58" s="147">
        <v>17.3</v>
      </c>
      <c r="K58" s="147">
        <v>18.6</v>
      </c>
      <c r="L58" s="147">
        <v>17.3</v>
      </c>
      <c r="M58" s="147">
        <v>18.2</v>
      </c>
      <c r="N58" s="147">
        <v>17.6</v>
      </c>
      <c r="O58" s="328">
        <v>18.7</v>
      </c>
      <c r="Q58" s="128" t="str">
        <f t="shared" si="6"/>
        <v>G/dB</v>
      </c>
      <c r="R58" s="127">
        <f t="shared" si="7"/>
        <v>0.6999999999999993</v>
      </c>
      <c r="S58" s="127">
        <f t="shared" si="7"/>
        <v>0.6999999999999993</v>
      </c>
      <c r="T58" s="127">
        <f t="shared" si="7"/>
        <v>0.8000000000000007</v>
      </c>
      <c r="U58" s="127">
        <f t="shared" si="7"/>
        <v>0.6999999999999993</v>
      </c>
      <c r="V58" s="127">
        <f t="shared" si="7"/>
        <v>0.6999999999999993</v>
      </c>
      <c r="W58" s="127">
        <f t="shared" si="7"/>
        <v>0.5</v>
      </c>
    </row>
    <row r="59" spans="1:23" ht="12.75">
      <c r="A59" s="325" t="s">
        <v>14</v>
      </c>
      <c r="B59" s="147">
        <v>32.93</v>
      </c>
      <c r="C59" s="147">
        <v>31.68</v>
      </c>
      <c r="D59" s="147">
        <v>36.94</v>
      </c>
      <c r="E59" s="147">
        <v>30.26</v>
      </c>
      <c r="F59" s="147">
        <v>37.11</v>
      </c>
      <c r="G59" s="328">
        <v>35.8</v>
      </c>
      <c r="H59" s="327"/>
      <c r="I59" s="325" t="s">
        <v>14</v>
      </c>
      <c r="J59" s="147">
        <v>33.14</v>
      </c>
      <c r="K59" s="147">
        <v>31.63</v>
      </c>
      <c r="L59" s="147">
        <v>33.65</v>
      </c>
      <c r="M59" s="147">
        <v>28.48</v>
      </c>
      <c r="N59" s="147">
        <v>34.86</v>
      </c>
      <c r="O59" s="328">
        <v>35.16</v>
      </c>
      <c r="Q59" s="128" t="str">
        <f t="shared" si="6"/>
        <v>LF/%</v>
      </c>
      <c r="R59" s="127">
        <f t="shared" si="7"/>
        <v>-0.21000000000000085</v>
      </c>
      <c r="S59" s="127">
        <f t="shared" si="7"/>
        <v>0.05000000000000071</v>
      </c>
      <c r="T59" s="127">
        <f t="shared" si="7"/>
        <v>3.289999999999999</v>
      </c>
      <c r="U59" s="127">
        <f t="shared" si="7"/>
        <v>1.7800000000000011</v>
      </c>
      <c r="V59" s="127">
        <f t="shared" si="7"/>
        <v>2.25</v>
      </c>
      <c r="W59" s="127">
        <f t="shared" si="7"/>
        <v>0.6400000000000006</v>
      </c>
    </row>
    <row r="60" spans="1:23" ht="12.75">
      <c r="A60" s="325" t="s">
        <v>15</v>
      </c>
      <c r="B60" s="147">
        <v>45.48</v>
      </c>
      <c r="C60" s="147">
        <v>40.61</v>
      </c>
      <c r="D60" s="147">
        <v>46.02</v>
      </c>
      <c r="E60" s="147">
        <v>38.52</v>
      </c>
      <c r="F60" s="147">
        <v>47.44</v>
      </c>
      <c r="G60" s="328">
        <v>44.98</v>
      </c>
      <c r="H60" s="327"/>
      <c r="I60" s="325" t="s">
        <v>15</v>
      </c>
      <c r="J60" s="147">
        <v>42.23</v>
      </c>
      <c r="K60" s="147">
        <v>40.27</v>
      </c>
      <c r="L60" s="147">
        <v>45.91</v>
      </c>
      <c r="M60" s="147">
        <v>36.52</v>
      </c>
      <c r="N60" s="147">
        <v>45.07</v>
      </c>
      <c r="O60" s="328">
        <v>44.21</v>
      </c>
      <c r="Q60" s="128" t="str">
        <f t="shared" si="6"/>
        <v>LFC/%</v>
      </c>
      <c r="R60" s="127">
        <f t="shared" si="7"/>
        <v>3.25</v>
      </c>
      <c r="S60" s="127">
        <f t="shared" si="7"/>
        <v>0.3399999999999963</v>
      </c>
      <c r="T60" s="127">
        <f t="shared" si="7"/>
        <v>0.11000000000000654</v>
      </c>
      <c r="U60" s="127">
        <f t="shared" si="7"/>
        <v>2</v>
      </c>
      <c r="V60" s="127">
        <f t="shared" si="7"/>
        <v>2.3699999999999974</v>
      </c>
      <c r="W60" s="127">
        <f t="shared" si="7"/>
        <v>0.769999999999996</v>
      </c>
    </row>
    <row r="61" spans="1:23" ht="12.75">
      <c r="A61" s="329" t="s">
        <v>16</v>
      </c>
      <c r="B61" s="330"/>
      <c r="C61" s="331"/>
      <c r="D61" s="331"/>
      <c r="E61" s="331"/>
      <c r="F61" s="331"/>
      <c r="G61" s="332"/>
      <c r="H61" s="327"/>
      <c r="I61" s="329" t="s">
        <v>16</v>
      </c>
      <c r="J61" s="330"/>
      <c r="K61" s="331"/>
      <c r="L61" s="331"/>
      <c r="M61" s="331"/>
      <c r="N61" s="331"/>
      <c r="O61" s="332"/>
      <c r="Q61" s="128" t="str">
        <f t="shared" si="6"/>
        <v>IACC</v>
      </c>
      <c r="R61" s="127">
        <f t="shared" si="7"/>
        <v>0</v>
      </c>
      <c r="S61" s="127">
        <f t="shared" si="7"/>
        <v>0</v>
      </c>
      <c r="T61" s="127">
        <f t="shared" si="7"/>
        <v>0</v>
      </c>
      <c r="U61" s="127">
        <f t="shared" si="7"/>
        <v>0</v>
      </c>
      <c r="V61" s="127">
        <f t="shared" si="7"/>
        <v>0</v>
      </c>
      <c r="W61" s="127">
        <f t="shared" si="7"/>
        <v>0</v>
      </c>
    </row>
    <row r="62" spans="5:15" ht="12.75">
      <c r="E62" s="320"/>
      <c r="F62" s="320"/>
      <c r="G62" s="320"/>
      <c r="H62" s="320"/>
      <c r="M62" s="320"/>
      <c r="N62" s="320"/>
      <c r="O62" s="320"/>
    </row>
    <row r="63" spans="1:18" ht="13.5" customHeight="1">
      <c r="A63" s="318" t="s">
        <v>20</v>
      </c>
      <c r="B63" s="319" t="s">
        <v>1</v>
      </c>
      <c r="E63" s="320"/>
      <c r="F63" s="320"/>
      <c r="G63" s="320"/>
      <c r="H63" s="320"/>
      <c r="I63" s="318" t="s">
        <v>20</v>
      </c>
      <c r="J63" s="319" t="s">
        <v>1</v>
      </c>
      <c r="M63" s="320"/>
      <c r="N63" s="320"/>
      <c r="O63" s="320"/>
      <c r="Q63" s="128" t="str">
        <f>+A63</f>
        <v>2000 Hz</v>
      </c>
      <c r="R63" s="128" t="str">
        <f>+B63</f>
        <v>octave</v>
      </c>
    </row>
    <row r="64" spans="1:23" ht="12" customHeight="1">
      <c r="A64" s="321"/>
      <c r="B64" s="322" t="s">
        <v>2</v>
      </c>
      <c r="C64" s="322" t="s">
        <v>3</v>
      </c>
      <c r="D64" s="323" t="s">
        <v>4</v>
      </c>
      <c r="E64" s="323" t="s">
        <v>5</v>
      </c>
      <c r="F64" s="322" t="s">
        <v>6</v>
      </c>
      <c r="G64" s="323" t="s">
        <v>7</v>
      </c>
      <c r="H64" s="324"/>
      <c r="I64" s="321"/>
      <c r="J64" s="322" t="s">
        <v>2</v>
      </c>
      <c r="K64" s="322" t="s">
        <v>3</v>
      </c>
      <c r="L64" s="323" t="s">
        <v>4</v>
      </c>
      <c r="M64" s="323" t="s">
        <v>5</v>
      </c>
      <c r="N64" s="322" t="s">
        <v>6</v>
      </c>
      <c r="O64" s="323" t="s">
        <v>7</v>
      </c>
      <c r="Q64" s="128">
        <f>+A64</f>
        <v>0</v>
      </c>
      <c r="R64" s="128" t="str">
        <f>+B64</f>
        <v>S1R1</v>
      </c>
      <c r="S64" s="128" t="str">
        <f>+C64</f>
        <v>S1R2</v>
      </c>
      <c r="T64" s="128" t="str">
        <f>+D64</f>
        <v>S1R3</v>
      </c>
      <c r="U64" s="128" t="str">
        <f>+E64</f>
        <v>S2R1</v>
      </c>
      <c r="V64" s="128" t="str">
        <f>+F64</f>
        <v>S2R2</v>
      </c>
      <c r="W64" s="128" t="str">
        <f>+G64</f>
        <v>S2R3</v>
      </c>
    </row>
    <row r="65" spans="1:23" ht="12.75">
      <c r="A65" s="325" t="s">
        <v>8</v>
      </c>
      <c r="B65" s="147">
        <v>1.01</v>
      </c>
      <c r="C65" s="147">
        <v>1.01</v>
      </c>
      <c r="D65" s="147">
        <v>1.01</v>
      </c>
      <c r="E65" s="147">
        <v>1.02</v>
      </c>
      <c r="F65" s="147">
        <v>1.02</v>
      </c>
      <c r="G65" s="326">
        <v>1.02</v>
      </c>
      <c r="H65" s="327"/>
      <c r="I65" s="325" t="s">
        <v>8</v>
      </c>
      <c r="J65" s="147">
        <v>0.7</v>
      </c>
      <c r="K65" s="147">
        <v>0.7</v>
      </c>
      <c r="L65" s="147">
        <v>0.7</v>
      </c>
      <c r="M65" s="147">
        <v>0.7</v>
      </c>
      <c r="N65" s="147">
        <v>0.7</v>
      </c>
      <c r="O65" s="326">
        <v>0.7</v>
      </c>
      <c r="Q65" s="128" t="str">
        <f aca="true" t="shared" si="8" ref="Q65:Q73">+A65</f>
        <v>T30/s</v>
      </c>
      <c r="R65" s="127">
        <f aca="true" t="shared" si="9" ref="R65:W73">+B65-J65</f>
        <v>0.31000000000000005</v>
      </c>
      <c r="S65" s="127">
        <f t="shared" si="9"/>
        <v>0.31000000000000005</v>
      </c>
      <c r="T65" s="127">
        <f t="shared" si="9"/>
        <v>0.31000000000000005</v>
      </c>
      <c r="U65" s="127">
        <f t="shared" si="9"/>
        <v>0.32000000000000006</v>
      </c>
      <c r="V65" s="127">
        <f t="shared" si="9"/>
        <v>0.32000000000000006</v>
      </c>
      <c r="W65" s="127">
        <f t="shared" si="9"/>
        <v>0.32000000000000006</v>
      </c>
    </row>
    <row r="66" spans="1:23" ht="12.75">
      <c r="A66" s="325" t="s">
        <v>9</v>
      </c>
      <c r="B66" s="147">
        <v>1.01</v>
      </c>
      <c r="C66" s="147">
        <v>0.97</v>
      </c>
      <c r="D66" s="147">
        <v>1.01</v>
      </c>
      <c r="E66" s="147">
        <v>0.98</v>
      </c>
      <c r="F66" s="147">
        <v>0.99</v>
      </c>
      <c r="G66" s="328">
        <v>0.96</v>
      </c>
      <c r="H66" s="327"/>
      <c r="I66" s="325" t="s">
        <v>9</v>
      </c>
      <c r="J66" s="147">
        <v>0.71</v>
      </c>
      <c r="K66" s="147">
        <v>0.69</v>
      </c>
      <c r="L66" s="147">
        <v>0.7</v>
      </c>
      <c r="M66" s="147">
        <v>0.69</v>
      </c>
      <c r="N66" s="147">
        <v>0.71</v>
      </c>
      <c r="O66" s="328">
        <v>0.66</v>
      </c>
      <c r="Q66" s="128" t="str">
        <f t="shared" si="8"/>
        <v>EDT/s</v>
      </c>
      <c r="R66" s="127">
        <f t="shared" si="9"/>
        <v>0.30000000000000004</v>
      </c>
      <c r="S66" s="127">
        <f t="shared" si="9"/>
        <v>0.28</v>
      </c>
      <c r="T66" s="127">
        <f t="shared" si="9"/>
        <v>0.31000000000000005</v>
      </c>
      <c r="U66" s="127">
        <f t="shared" si="9"/>
        <v>0.29000000000000004</v>
      </c>
      <c r="V66" s="127">
        <f t="shared" si="9"/>
        <v>0.28</v>
      </c>
      <c r="W66" s="127">
        <f t="shared" si="9"/>
        <v>0.29999999999999993</v>
      </c>
    </row>
    <row r="67" spans="1:23" ht="12.75">
      <c r="A67" s="325" t="s">
        <v>10</v>
      </c>
      <c r="B67" s="147">
        <v>53.16</v>
      </c>
      <c r="C67" s="147">
        <v>58.38</v>
      </c>
      <c r="D67" s="147">
        <v>54.19</v>
      </c>
      <c r="E67" s="147">
        <v>59.39</v>
      </c>
      <c r="F67" s="147">
        <v>53.68</v>
      </c>
      <c r="G67" s="328">
        <v>61.48</v>
      </c>
      <c r="H67" s="327"/>
      <c r="I67" s="325" t="s">
        <v>10</v>
      </c>
      <c r="J67" s="147">
        <v>67.68</v>
      </c>
      <c r="K67" s="147">
        <v>70.48</v>
      </c>
      <c r="L67" s="147">
        <v>66.77</v>
      </c>
      <c r="M67" s="147">
        <v>70.91</v>
      </c>
      <c r="N67" s="147">
        <v>65.48</v>
      </c>
      <c r="O67" s="328">
        <v>71.9</v>
      </c>
      <c r="Q67" s="128" t="str">
        <f t="shared" si="8"/>
        <v>D/%</v>
      </c>
      <c r="R67" s="127">
        <f t="shared" si="9"/>
        <v>-14.52000000000001</v>
      </c>
      <c r="S67" s="127">
        <f t="shared" si="9"/>
        <v>-12.100000000000001</v>
      </c>
      <c r="T67" s="127">
        <f t="shared" si="9"/>
        <v>-12.579999999999998</v>
      </c>
      <c r="U67" s="127">
        <f t="shared" si="9"/>
        <v>-11.519999999999996</v>
      </c>
      <c r="V67" s="127">
        <f t="shared" si="9"/>
        <v>-11.800000000000004</v>
      </c>
      <c r="W67" s="127">
        <f t="shared" si="9"/>
        <v>-10.420000000000009</v>
      </c>
    </row>
    <row r="68" spans="1:23" ht="12.75">
      <c r="A68" s="325" t="s">
        <v>52</v>
      </c>
      <c r="B68" s="147">
        <v>3.28</v>
      </c>
      <c r="C68" s="147">
        <v>4.28</v>
      </c>
      <c r="D68" s="147">
        <v>3.57</v>
      </c>
      <c r="E68" s="147">
        <v>4.46</v>
      </c>
      <c r="F68" s="147">
        <v>3.42</v>
      </c>
      <c r="G68" s="328">
        <v>4.66</v>
      </c>
      <c r="H68" s="327"/>
      <c r="I68" s="325" t="s">
        <v>11</v>
      </c>
      <c r="J68" s="147">
        <v>6.44</v>
      </c>
      <c r="K68" s="147">
        <v>7.12</v>
      </c>
      <c r="L68" s="147">
        <v>6.22</v>
      </c>
      <c r="M68" s="147">
        <v>7.21</v>
      </c>
      <c r="N68" s="147">
        <v>6.05</v>
      </c>
      <c r="O68" s="328">
        <v>7.41</v>
      </c>
      <c r="Q68" s="128" t="str">
        <f t="shared" si="8"/>
        <v>C80/dB</v>
      </c>
      <c r="R68" s="127">
        <f t="shared" si="9"/>
        <v>-3.1600000000000006</v>
      </c>
      <c r="S68" s="127">
        <f t="shared" si="9"/>
        <v>-2.84</v>
      </c>
      <c r="T68" s="127">
        <f t="shared" si="9"/>
        <v>-2.65</v>
      </c>
      <c r="U68" s="127">
        <f t="shared" si="9"/>
        <v>-2.75</v>
      </c>
      <c r="V68" s="127">
        <f t="shared" si="9"/>
        <v>-2.63</v>
      </c>
      <c r="W68" s="127">
        <f t="shared" si="9"/>
        <v>-2.75</v>
      </c>
    </row>
    <row r="69" spans="1:23" ht="12.75">
      <c r="A69" s="325" t="s">
        <v>53</v>
      </c>
      <c r="B69" s="147">
        <v>69.5</v>
      </c>
      <c r="C69" s="147">
        <v>60.9</v>
      </c>
      <c r="D69" s="147">
        <v>68.2</v>
      </c>
      <c r="E69" s="147">
        <v>59.8</v>
      </c>
      <c r="F69" s="147">
        <v>68.5</v>
      </c>
      <c r="G69" s="328">
        <v>58.3</v>
      </c>
      <c r="H69" s="327"/>
      <c r="I69" s="325" t="s">
        <v>12</v>
      </c>
      <c r="J69" s="147">
        <v>46.4</v>
      </c>
      <c r="K69" s="147">
        <v>41.5</v>
      </c>
      <c r="L69" s="147">
        <v>48</v>
      </c>
      <c r="M69" s="147">
        <v>41.1</v>
      </c>
      <c r="N69" s="147">
        <v>48.5</v>
      </c>
      <c r="O69" s="328">
        <v>40.7</v>
      </c>
      <c r="Q69" s="128" t="str">
        <f t="shared" si="8"/>
        <v>Ts/ms</v>
      </c>
      <c r="R69" s="127">
        <f t="shared" si="9"/>
        <v>23.1</v>
      </c>
      <c r="S69" s="127">
        <f t="shared" si="9"/>
        <v>19.4</v>
      </c>
      <c r="T69" s="127">
        <f t="shared" si="9"/>
        <v>20.200000000000003</v>
      </c>
      <c r="U69" s="127">
        <f t="shared" si="9"/>
        <v>18.699999999999996</v>
      </c>
      <c r="V69" s="127">
        <f t="shared" si="9"/>
        <v>20</v>
      </c>
      <c r="W69" s="127">
        <f t="shared" si="9"/>
        <v>17.599999999999994</v>
      </c>
    </row>
    <row r="70" spans="1:23" ht="12.75">
      <c r="A70" s="325" t="s">
        <v>13</v>
      </c>
      <c r="B70" s="147">
        <v>18.6</v>
      </c>
      <c r="C70" s="147">
        <v>19.8</v>
      </c>
      <c r="D70" s="147">
        <v>18.7</v>
      </c>
      <c r="E70" s="147">
        <v>19.5</v>
      </c>
      <c r="F70" s="147">
        <v>18.8</v>
      </c>
      <c r="G70" s="328">
        <v>19.7</v>
      </c>
      <c r="H70" s="327"/>
      <c r="I70" s="325" t="s">
        <v>13</v>
      </c>
      <c r="J70" s="147">
        <v>17.2</v>
      </c>
      <c r="K70" s="147">
        <v>18.7</v>
      </c>
      <c r="L70" s="147">
        <v>17.4</v>
      </c>
      <c r="M70" s="147">
        <v>18.3</v>
      </c>
      <c r="N70" s="147">
        <v>17.6</v>
      </c>
      <c r="O70" s="328">
        <v>18.8</v>
      </c>
      <c r="Q70" s="128" t="str">
        <f t="shared" si="8"/>
        <v>G/dB</v>
      </c>
      <c r="R70" s="127">
        <f t="shared" si="9"/>
        <v>1.4000000000000021</v>
      </c>
      <c r="S70" s="127">
        <f t="shared" si="9"/>
        <v>1.1000000000000014</v>
      </c>
      <c r="T70" s="127">
        <f t="shared" si="9"/>
        <v>1.3000000000000007</v>
      </c>
      <c r="U70" s="127">
        <f t="shared" si="9"/>
        <v>1.1999999999999993</v>
      </c>
      <c r="V70" s="127">
        <f t="shared" si="9"/>
        <v>1.1999999999999993</v>
      </c>
      <c r="W70" s="127">
        <f t="shared" si="9"/>
        <v>0.8999999999999986</v>
      </c>
    </row>
    <row r="71" spans="1:23" ht="12.75">
      <c r="A71" s="325" t="s">
        <v>14</v>
      </c>
      <c r="B71" s="147">
        <v>33.56</v>
      </c>
      <c r="C71" s="147">
        <v>32.66</v>
      </c>
      <c r="D71" s="147">
        <v>37.92</v>
      </c>
      <c r="E71" s="147">
        <v>32.58</v>
      </c>
      <c r="F71" s="147">
        <v>38.26</v>
      </c>
      <c r="G71" s="328">
        <v>36.33</v>
      </c>
      <c r="H71" s="327"/>
      <c r="I71" s="325" t="s">
        <v>14</v>
      </c>
      <c r="J71" s="147">
        <v>32.56</v>
      </c>
      <c r="K71" s="147">
        <v>32.23</v>
      </c>
      <c r="L71" s="147">
        <v>34.03</v>
      </c>
      <c r="M71" s="147">
        <v>29.84</v>
      </c>
      <c r="N71" s="147">
        <v>35.19</v>
      </c>
      <c r="O71" s="328">
        <v>35.22</v>
      </c>
      <c r="Q71" s="128" t="str">
        <f t="shared" si="8"/>
        <v>LF/%</v>
      </c>
      <c r="R71" s="127">
        <f t="shared" si="9"/>
        <v>1</v>
      </c>
      <c r="S71" s="127">
        <f t="shared" si="9"/>
        <v>0.4299999999999997</v>
      </c>
      <c r="T71" s="127">
        <f t="shared" si="9"/>
        <v>3.8900000000000006</v>
      </c>
      <c r="U71" s="127">
        <f t="shared" si="9"/>
        <v>2.7399999999999984</v>
      </c>
      <c r="V71" s="127">
        <f t="shared" si="9"/>
        <v>3.0700000000000003</v>
      </c>
      <c r="W71" s="127">
        <f t="shared" si="9"/>
        <v>1.1099999999999994</v>
      </c>
    </row>
    <row r="72" spans="1:23" ht="12.75">
      <c r="A72" s="325" t="s">
        <v>15</v>
      </c>
      <c r="B72" s="147">
        <v>46.33</v>
      </c>
      <c r="C72" s="147">
        <v>41.93</v>
      </c>
      <c r="D72" s="147">
        <v>47.22</v>
      </c>
      <c r="E72" s="147">
        <v>40.96</v>
      </c>
      <c r="F72" s="147">
        <v>48.78</v>
      </c>
      <c r="G72" s="328">
        <v>45.75</v>
      </c>
      <c r="H72" s="327"/>
      <c r="I72" s="325" t="s">
        <v>15</v>
      </c>
      <c r="J72" s="147">
        <v>41.53</v>
      </c>
      <c r="K72" s="147">
        <v>40.95</v>
      </c>
      <c r="L72" s="147">
        <v>46.42</v>
      </c>
      <c r="M72" s="147">
        <v>37.74</v>
      </c>
      <c r="N72" s="147">
        <v>45.43</v>
      </c>
      <c r="O72" s="328">
        <v>44.38</v>
      </c>
      <c r="Q72" s="128" t="str">
        <f t="shared" si="8"/>
        <v>LFC/%</v>
      </c>
      <c r="R72" s="127">
        <f t="shared" si="9"/>
        <v>4.799999999999997</v>
      </c>
      <c r="S72" s="127">
        <f t="shared" si="9"/>
        <v>0.9799999999999969</v>
      </c>
      <c r="T72" s="127">
        <f t="shared" si="9"/>
        <v>0.7999999999999972</v>
      </c>
      <c r="U72" s="127">
        <f t="shared" si="9"/>
        <v>3.219999999999999</v>
      </c>
      <c r="V72" s="127">
        <f t="shared" si="9"/>
        <v>3.3500000000000014</v>
      </c>
      <c r="W72" s="127">
        <f t="shared" si="9"/>
        <v>1.3699999999999974</v>
      </c>
    </row>
    <row r="73" spans="1:23" ht="12.75">
      <c r="A73" s="329" t="s">
        <v>16</v>
      </c>
      <c r="B73" s="330"/>
      <c r="C73" s="331"/>
      <c r="D73" s="331"/>
      <c r="E73" s="331"/>
      <c r="F73" s="331"/>
      <c r="G73" s="332"/>
      <c r="H73" s="327"/>
      <c r="I73" s="329" t="s">
        <v>16</v>
      </c>
      <c r="J73" s="330"/>
      <c r="K73" s="331"/>
      <c r="L73" s="331"/>
      <c r="M73" s="331"/>
      <c r="N73" s="331"/>
      <c r="O73" s="332"/>
      <c r="Q73" s="128" t="str">
        <f t="shared" si="8"/>
        <v>IACC</v>
      </c>
      <c r="R73" s="127">
        <f t="shared" si="9"/>
        <v>0</v>
      </c>
      <c r="S73" s="127">
        <f t="shared" si="9"/>
        <v>0</v>
      </c>
      <c r="T73" s="127">
        <f t="shared" si="9"/>
        <v>0</v>
      </c>
      <c r="U73" s="127">
        <f t="shared" si="9"/>
        <v>0</v>
      </c>
      <c r="V73" s="127">
        <f t="shared" si="9"/>
        <v>0</v>
      </c>
      <c r="W73" s="127">
        <f t="shared" si="9"/>
        <v>0</v>
      </c>
    </row>
    <row r="74" spans="5:15" ht="12.75">
      <c r="E74" s="320"/>
      <c r="F74" s="320"/>
      <c r="G74" s="320"/>
      <c r="H74" s="320"/>
      <c r="M74" s="320"/>
      <c r="N74" s="320"/>
      <c r="O74" s="320"/>
    </row>
    <row r="75" spans="1:18" ht="12.75">
      <c r="A75" s="318" t="s">
        <v>21</v>
      </c>
      <c r="B75" s="319" t="s">
        <v>1</v>
      </c>
      <c r="E75" s="320"/>
      <c r="F75" s="320"/>
      <c r="G75" s="320"/>
      <c r="H75" s="320"/>
      <c r="I75" s="318" t="s">
        <v>21</v>
      </c>
      <c r="J75" s="319" t="s">
        <v>1</v>
      </c>
      <c r="M75" s="320"/>
      <c r="N75" s="320"/>
      <c r="O75" s="320"/>
      <c r="Q75" s="128" t="str">
        <f>+A75</f>
        <v>4000 Hz</v>
      </c>
      <c r="R75" s="128" t="str">
        <f>+B75</f>
        <v>octave</v>
      </c>
    </row>
    <row r="76" spans="1:23" ht="12.75">
      <c r="A76" s="321"/>
      <c r="B76" s="322" t="s">
        <v>2</v>
      </c>
      <c r="C76" s="322" t="s">
        <v>3</v>
      </c>
      <c r="D76" s="323" t="s">
        <v>4</v>
      </c>
      <c r="E76" s="323" t="s">
        <v>5</v>
      </c>
      <c r="F76" s="322" t="s">
        <v>6</v>
      </c>
      <c r="G76" s="323" t="s">
        <v>7</v>
      </c>
      <c r="H76" s="324"/>
      <c r="I76" s="321"/>
      <c r="J76" s="322" t="s">
        <v>2</v>
      </c>
      <c r="K76" s="322" t="s">
        <v>3</v>
      </c>
      <c r="L76" s="323" t="s">
        <v>4</v>
      </c>
      <c r="M76" s="323" t="s">
        <v>5</v>
      </c>
      <c r="N76" s="322" t="s">
        <v>6</v>
      </c>
      <c r="O76" s="323" t="s">
        <v>7</v>
      </c>
      <c r="Q76" s="128">
        <f>+A76</f>
        <v>0</v>
      </c>
      <c r="R76" s="128" t="str">
        <f>+B76</f>
        <v>S1R1</v>
      </c>
      <c r="S76" s="128" t="str">
        <f>+C76</f>
        <v>S1R2</v>
      </c>
      <c r="T76" s="128" t="str">
        <f>+D76</f>
        <v>S1R3</v>
      </c>
      <c r="U76" s="128" t="str">
        <f>+E76</f>
        <v>S2R1</v>
      </c>
      <c r="V76" s="128" t="str">
        <f>+F76</f>
        <v>S2R2</v>
      </c>
      <c r="W76" s="128" t="str">
        <f>+G76</f>
        <v>S2R3</v>
      </c>
    </row>
    <row r="77" spans="1:23" ht="12.75">
      <c r="A77" s="325" t="s">
        <v>8</v>
      </c>
      <c r="B77" s="147">
        <v>0.94</v>
      </c>
      <c r="C77" s="147">
        <v>0.93</v>
      </c>
      <c r="D77" s="147">
        <v>0.94</v>
      </c>
      <c r="E77" s="147">
        <v>0.95</v>
      </c>
      <c r="F77" s="147">
        <v>0.95</v>
      </c>
      <c r="G77" s="326">
        <v>0.95</v>
      </c>
      <c r="H77" s="327"/>
      <c r="I77" s="325" t="s">
        <v>8</v>
      </c>
      <c r="J77" s="147">
        <v>0.63</v>
      </c>
      <c r="K77" s="147">
        <v>0.63</v>
      </c>
      <c r="L77" s="147">
        <v>0.63</v>
      </c>
      <c r="M77" s="147">
        <v>0.63</v>
      </c>
      <c r="N77" s="147">
        <v>0.63</v>
      </c>
      <c r="O77" s="326">
        <v>0.63</v>
      </c>
      <c r="Q77" s="128" t="str">
        <f aca="true" t="shared" si="10" ref="Q77:Q85">+A77</f>
        <v>T30/s</v>
      </c>
      <c r="R77" s="127">
        <f aca="true" t="shared" si="11" ref="R77:W85">+B77-J77</f>
        <v>0.30999999999999994</v>
      </c>
      <c r="S77" s="127">
        <f t="shared" si="11"/>
        <v>0.30000000000000004</v>
      </c>
      <c r="T77" s="127">
        <f t="shared" si="11"/>
        <v>0.30999999999999994</v>
      </c>
      <c r="U77" s="127">
        <f t="shared" si="11"/>
        <v>0.31999999999999995</v>
      </c>
      <c r="V77" s="127">
        <f t="shared" si="11"/>
        <v>0.31999999999999995</v>
      </c>
      <c r="W77" s="127">
        <f t="shared" si="11"/>
        <v>0.31999999999999995</v>
      </c>
    </row>
    <row r="78" spans="1:23" ht="12.75">
      <c r="A78" s="325" t="s">
        <v>9</v>
      </c>
      <c r="B78" s="147">
        <v>0.95</v>
      </c>
      <c r="C78" s="147">
        <v>0.9</v>
      </c>
      <c r="D78" s="147">
        <v>0.94</v>
      </c>
      <c r="E78" s="147">
        <v>0.9</v>
      </c>
      <c r="F78" s="147">
        <v>0.92</v>
      </c>
      <c r="G78" s="328">
        <v>0.89</v>
      </c>
      <c r="H78" s="327"/>
      <c r="I78" s="325" t="s">
        <v>9</v>
      </c>
      <c r="J78" s="147">
        <v>0.63</v>
      </c>
      <c r="K78" s="147">
        <v>0.61</v>
      </c>
      <c r="L78" s="147">
        <v>0.63</v>
      </c>
      <c r="M78" s="147">
        <v>0.61</v>
      </c>
      <c r="N78" s="147">
        <v>0.65</v>
      </c>
      <c r="O78" s="328">
        <v>0.58</v>
      </c>
      <c r="Q78" s="128" t="str">
        <f t="shared" si="10"/>
        <v>EDT/s</v>
      </c>
      <c r="R78" s="127">
        <f t="shared" si="11"/>
        <v>0.31999999999999995</v>
      </c>
      <c r="S78" s="127">
        <f t="shared" si="11"/>
        <v>0.29000000000000004</v>
      </c>
      <c r="T78" s="127">
        <f t="shared" si="11"/>
        <v>0.30999999999999994</v>
      </c>
      <c r="U78" s="127">
        <f t="shared" si="11"/>
        <v>0.29000000000000004</v>
      </c>
      <c r="V78" s="127">
        <f t="shared" si="11"/>
        <v>0.27</v>
      </c>
      <c r="W78" s="127">
        <f t="shared" si="11"/>
        <v>0.31000000000000005</v>
      </c>
    </row>
    <row r="79" spans="1:23" ht="12.75">
      <c r="A79" s="325" t="s">
        <v>10</v>
      </c>
      <c r="B79" s="147">
        <v>55.5</v>
      </c>
      <c r="C79" s="147">
        <v>60.99</v>
      </c>
      <c r="D79" s="147">
        <v>56.98</v>
      </c>
      <c r="E79" s="147">
        <v>62.18</v>
      </c>
      <c r="F79" s="147">
        <v>55.79</v>
      </c>
      <c r="G79" s="328">
        <v>64.11</v>
      </c>
      <c r="H79" s="327"/>
      <c r="I79" s="325" t="s">
        <v>10</v>
      </c>
      <c r="J79" s="147">
        <v>71.62</v>
      </c>
      <c r="K79" s="147">
        <v>74.21</v>
      </c>
      <c r="L79" s="147">
        <v>70.53</v>
      </c>
      <c r="M79" s="147">
        <v>74.87</v>
      </c>
      <c r="N79" s="147">
        <v>69.07</v>
      </c>
      <c r="O79" s="328">
        <v>75.21</v>
      </c>
      <c r="Q79" s="128" t="str">
        <f t="shared" si="10"/>
        <v>D/%</v>
      </c>
      <c r="R79" s="127">
        <f t="shared" si="11"/>
        <v>-16.120000000000005</v>
      </c>
      <c r="S79" s="127">
        <f t="shared" si="11"/>
        <v>-13.219999999999992</v>
      </c>
      <c r="T79" s="127">
        <f t="shared" si="11"/>
        <v>-13.550000000000004</v>
      </c>
      <c r="U79" s="127">
        <f t="shared" si="11"/>
        <v>-12.690000000000005</v>
      </c>
      <c r="V79" s="127">
        <f t="shared" si="11"/>
        <v>-13.279999999999994</v>
      </c>
      <c r="W79" s="127">
        <f t="shared" si="11"/>
        <v>-11.099999999999994</v>
      </c>
    </row>
    <row r="80" spans="1:23" ht="12.75">
      <c r="A80" s="325" t="s">
        <v>52</v>
      </c>
      <c r="B80" s="147">
        <v>3.75</v>
      </c>
      <c r="C80" s="147">
        <v>4.83</v>
      </c>
      <c r="D80" s="147">
        <v>4.12</v>
      </c>
      <c r="E80" s="147">
        <v>5.09</v>
      </c>
      <c r="F80" s="147">
        <v>3.89</v>
      </c>
      <c r="G80" s="328">
        <v>5.22</v>
      </c>
      <c r="H80" s="327"/>
      <c r="I80" s="325" t="s">
        <v>11</v>
      </c>
      <c r="J80" s="147">
        <v>7.4</v>
      </c>
      <c r="K80" s="147">
        <v>8.09</v>
      </c>
      <c r="L80" s="147">
        <v>7.14</v>
      </c>
      <c r="M80" s="147">
        <v>8.27</v>
      </c>
      <c r="N80" s="147">
        <v>6.95</v>
      </c>
      <c r="O80" s="328">
        <v>8.43</v>
      </c>
      <c r="Q80" s="128" t="str">
        <f t="shared" si="10"/>
        <v>C80/dB</v>
      </c>
      <c r="R80" s="127">
        <f t="shared" si="11"/>
        <v>-3.6500000000000004</v>
      </c>
      <c r="S80" s="127">
        <f t="shared" si="11"/>
        <v>-3.26</v>
      </c>
      <c r="T80" s="127">
        <f t="shared" si="11"/>
        <v>-3.0199999999999996</v>
      </c>
      <c r="U80" s="127">
        <f t="shared" si="11"/>
        <v>-3.1799999999999997</v>
      </c>
      <c r="V80" s="127">
        <f t="shared" si="11"/>
        <v>-3.06</v>
      </c>
      <c r="W80" s="127">
        <f t="shared" si="11"/>
        <v>-3.21</v>
      </c>
    </row>
    <row r="81" spans="1:23" ht="12.75">
      <c r="A81" s="325" t="s">
        <v>53</v>
      </c>
      <c r="B81" s="147">
        <v>65</v>
      </c>
      <c r="C81" s="147">
        <v>56.3</v>
      </c>
      <c r="D81" s="147">
        <v>63.3</v>
      </c>
      <c r="E81" s="147">
        <v>54.9</v>
      </c>
      <c r="F81" s="147">
        <v>64</v>
      </c>
      <c r="G81" s="328">
        <v>53.8</v>
      </c>
      <c r="H81" s="327"/>
      <c r="I81" s="325" t="s">
        <v>12</v>
      </c>
      <c r="J81" s="147">
        <v>41.5</v>
      </c>
      <c r="K81" s="147">
        <v>37.1</v>
      </c>
      <c r="L81" s="147">
        <v>43.3</v>
      </c>
      <c r="M81" s="147">
        <v>36.4</v>
      </c>
      <c r="N81" s="147">
        <v>43.7</v>
      </c>
      <c r="O81" s="328">
        <v>36.5</v>
      </c>
      <c r="Q81" s="128" t="str">
        <f t="shared" si="10"/>
        <v>Ts/ms</v>
      </c>
      <c r="R81" s="127">
        <f t="shared" si="11"/>
        <v>23.5</v>
      </c>
      <c r="S81" s="127">
        <f t="shared" si="11"/>
        <v>19.199999999999996</v>
      </c>
      <c r="T81" s="127">
        <f t="shared" si="11"/>
        <v>20</v>
      </c>
      <c r="U81" s="127">
        <f t="shared" si="11"/>
        <v>18.5</v>
      </c>
      <c r="V81" s="127">
        <f t="shared" si="11"/>
        <v>20.299999999999997</v>
      </c>
      <c r="W81" s="127">
        <f t="shared" si="11"/>
        <v>17.299999999999997</v>
      </c>
    </row>
    <row r="82" spans="1:23" ht="12.75">
      <c r="A82" s="325" t="s">
        <v>13</v>
      </c>
      <c r="B82" s="147">
        <v>18.3</v>
      </c>
      <c r="C82" s="147">
        <v>19.6</v>
      </c>
      <c r="D82" s="147">
        <v>18.4</v>
      </c>
      <c r="E82" s="147">
        <v>19.3</v>
      </c>
      <c r="F82" s="147">
        <v>18.5</v>
      </c>
      <c r="G82" s="328">
        <v>19.5</v>
      </c>
      <c r="H82" s="327"/>
      <c r="I82" s="325" t="s">
        <v>13</v>
      </c>
      <c r="J82" s="147">
        <v>16.8</v>
      </c>
      <c r="K82" s="147">
        <v>18.4</v>
      </c>
      <c r="L82" s="147">
        <v>16.9</v>
      </c>
      <c r="M82" s="147">
        <v>17.9</v>
      </c>
      <c r="N82" s="147">
        <v>17.2</v>
      </c>
      <c r="O82" s="328">
        <v>18.5</v>
      </c>
      <c r="Q82" s="128" t="str">
        <f t="shared" si="10"/>
        <v>G/dB</v>
      </c>
      <c r="R82" s="127">
        <f t="shared" si="11"/>
        <v>1.5</v>
      </c>
      <c r="S82" s="127">
        <f t="shared" si="11"/>
        <v>1.2000000000000028</v>
      </c>
      <c r="T82" s="127">
        <f t="shared" si="11"/>
        <v>1.5</v>
      </c>
      <c r="U82" s="127">
        <f t="shared" si="11"/>
        <v>1.4000000000000021</v>
      </c>
      <c r="V82" s="127">
        <f t="shared" si="11"/>
        <v>1.3000000000000007</v>
      </c>
      <c r="W82" s="127">
        <f t="shared" si="11"/>
        <v>1</v>
      </c>
    </row>
    <row r="83" spans="1:23" ht="12.75">
      <c r="A83" s="325" t="s">
        <v>14</v>
      </c>
      <c r="B83" s="147">
        <v>33.23</v>
      </c>
      <c r="C83" s="147">
        <v>32.33</v>
      </c>
      <c r="D83" s="147">
        <v>37.44</v>
      </c>
      <c r="E83" s="147">
        <v>32.29</v>
      </c>
      <c r="F83" s="147">
        <v>37.69</v>
      </c>
      <c r="G83" s="328">
        <v>36.35</v>
      </c>
      <c r="H83" s="327"/>
      <c r="I83" s="325" t="s">
        <v>14</v>
      </c>
      <c r="J83" s="147">
        <v>30.86</v>
      </c>
      <c r="K83" s="147">
        <v>31.31</v>
      </c>
      <c r="L83" s="147">
        <v>33.49</v>
      </c>
      <c r="M83" s="147">
        <v>29</v>
      </c>
      <c r="N83" s="147">
        <v>34.36</v>
      </c>
      <c r="O83" s="328">
        <v>34.82</v>
      </c>
      <c r="Q83" s="128" t="str">
        <f t="shared" si="10"/>
        <v>LF/%</v>
      </c>
      <c r="R83" s="127">
        <f t="shared" si="11"/>
        <v>2.3699999999999974</v>
      </c>
      <c r="S83" s="127">
        <f t="shared" si="11"/>
        <v>1.0199999999999996</v>
      </c>
      <c r="T83" s="127">
        <f t="shared" si="11"/>
        <v>3.9499999999999957</v>
      </c>
      <c r="U83" s="127">
        <f t="shared" si="11"/>
        <v>3.289999999999999</v>
      </c>
      <c r="V83" s="127">
        <f t="shared" si="11"/>
        <v>3.3299999999999983</v>
      </c>
      <c r="W83" s="127">
        <f t="shared" si="11"/>
        <v>1.5300000000000011</v>
      </c>
    </row>
    <row r="84" spans="1:23" ht="12.75">
      <c r="A84" s="325" t="s">
        <v>15</v>
      </c>
      <c r="B84" s="147">
        <v>45.9</v>
      </c>
      <c r="C84" s="147">
        <v>41.63</v>
      </c>
      <c r="D84" s="147">
        <v>46.63</v>
      </c>
      <c r="E84" s="147">
        <v>40.7</v>
      </c>
      <c r="F84" s="147">
        <v>48.14</v>
      </c>
      <c r="G84" s="328">
        <v>45.62</v>
      </c>
      <c r="H84" s="327"/>
      <c r="I84" s="325" t="s">
        <v>15</v>
      </c>
      <c r="J84" s="147">
        <v>39.51</v>
      </c>
      <c r="K84" s="147">
        <v>39.93</v>
      </c>
      <c r="L84" s="147">
        <v>45.73</v>
      </c>
      <c r="M84" s="147">
        <v>36.69</v>
      </c>
      <c r="N84" s="147">
        <v>44.45</v>
      </c>
      <c r="O84" s="328">
        <v>43.78</v>
      </c>
      <c r="Q84" s="128" t="str">
        <f t="shared" si="10"/>
        <v>LFC/%</v>
      </c>
      <c r="R84" s="127">
        <f t="shared" si="11"/>
        <v>6.390000000000001</v>
      </c>
      <c r="S84" s="127">
        <f t="shared" si="11"/>
        <v>1.7000000000000028</v>
      </c>
      <c r="T84" s="127">
        <f t="shared" si="11"/>
        <v>0.9000000000000057</v>
      </c>
      <c r="U84" s="127">
        <f t="shared" si="11"/>
        <v>4.010000000000005</v>
      </c>
      <c r="V84" s="127">
        <f t="shared" si="11"/>
        <v>3.6899999999999977</v>
      </c>
      <c r="W84" s="127">
        <f t="shared" si="11"/>
        <v>1.8399999999999963</v>
      </c>
    </row>
    <row r="85" spans="1:23" ht="12.75">
      <c r="A85" s="329" t="s">
        <v>16</v>
      </c>
      <c r="B85" s="330"/>
      <c r="C85" s="331"/>
      <c r="D85" s="331"/>
      <c r="E85" s="331"/>
      <c r="F85" s="331"/>
      <c r="G85" s="332"/>
      <c r="H85" s="327"/>
      <c r="I85" s="329" t="s">
        <v>16</v>
      </c>
      <c r="J85" s="330"/>
      <c r="K85" s="331"/>
      <c r="L85" s="331"/>
      <c r="M85" s="331"/>
      <c r="N85" s="331"/>
      <c r="O85" s="332"/>
      <c r="Q85" s="128" t="str">
        <f t="shared" si="10"/>
        <v>IACC</v>
      </c>
      <c r="R85" s="127">
        <f t="shared" si="11"/>
        <v>0</v>
      </c>
      <c r="S85" s="127">
        <f t="shared" si="11"/>
        <v>0</v>
      </c>
      <c r="T85" s="127">
        <f t="shared" si="11"/>
        <v>0</v>
      </c>
      <c r="U85" s="127">
        <f t="shared" si="11"/>
        <v>0</v>
      </c>
      <c r="V85" s="127">
        <f t="shared" si="11"/>
        <v>0</v>
      </c>
      <c r="W85" s="127">
        <f t="shared" si="11"/>
        <v>0</v>
      </c>
    </row>
    <row r="86" spans="5:15" ht="12.75">
      <c r="E86" s="320"/>
      <c r="F86" s="320"/>
      <c r="G86" s="320"/>
      <c r="H86" s="320"/>
      <c r="M86" s="320"/>
      <c r="N86" s="320"/>
      <c r="O86" s="320"/>
    </row>
    <row r="87" spans="5:15" ht="12.75">
      <c r="E87" s="320"/>
      <c r="F87" s="320"/>
      <c r="G87" s="320"/>
      <c r="H87" s="320"/>
      <c r="M87" s="320"/>
      <c r="N87" s="320"/>
      <c r="O87" s="320"/>
    </row>
    <row r="88" spans="1:15" ht="12.75">
      <c r="A88" s="333"/>
      <c r="E88" s="320"/>
      <c r="F88" s="320"/>
      <c r="G88" s="320"/>
      <c r="H88" s="320"/>
      <c r="I88" s="333"/>
      <c r="M88" s="320"/>
      <c r="N88" s="320"/>
      <c r="O88" s="320"/>
    </row>
    <row r="89" spans="5:15" ht="12.75">
      <c r="E89" s="320"/>
      <c r="F89" s="320"/>
      <c r="G89" s="320"/>
      <c r="H89" s="320"/>
      <c r="M89" s="320"/>
      <c r="N89" s="320"/>
      <c r="O89" s="320"/>
    </row>
    <row r="90" spans="5:15" ht="12.75">
      <c r="E90" s="320"/>
      <c r="F90" s="320"/>
      <c r="G90" s="320"/>
      <c r="H90" s="320"/>
      <c r="M90" s="320"/>
      <c r="N90" s="320"/>
      <c r="O90" s="320"/>
    </row>
    <row r="91" spans="5:15" ht="12.75">
      <c r="E91" s="320"/>
      <c r="F91" s="320"/>
      <c r="G91" s="320"/>
      <c r="H91" s="320"/>
      <c r="M91" s="320"/>
      <c r="N91" s="320"/>
      <c r="O91" s="320"/>
    </row>
    <row r="92" spans="5:15" ht="12.75">
      <c r="E92" s="320"/>
      <c r="F92" s="320"/>
      <c r="G92" s="320"/>
      <c r="H92" s="320"/>
      <c r="M92" s="320"/>
      <c r="N92" s="320"/>
      <c r="O92" s="320"/>
    </row>
    <row r="93" spans="5:15" ht="12.75">
      <c r="E93" s="320"/>
      <c r="F93" s="320"/>
      <c r="G93" s="320"/>
      <c r="H93" s="320"/>
      <c r="M93" s="320"/>
      <c r="N93" s="320"/>
      <c r="O93" s="320"/>
    </row>
  </sheetData>
  <printOptions/>
  <pageMargins left="0.75" right="0.75" top="1" bottom="1" header="0.4921259845" footer="0.4921259845"/>
  <pageSetup fitToHeight="1" fitToWidth="1" horizontalDpi="300" verticalDpi="300" orientation="portrait" paperSize="9" scale="44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Braunschweig &amp;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 1.401</dc:creator>
  <cp:keywords/>
  <dc:description/>
  <cp:lastModifiedBy>PTB 1.401</cp:lastModifiedBy>
  <cp:lastPrinted>2002-02-08T09:38:38Z</cp:lastPrinted>
  <dcterms:created xsi:type="dcterms:W3CDTF">2001-06-06T09:23:55Z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